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2"/>
  </bookViews>
  <sheets>
    <sheet name="MMOI Bifillar Pendulum" sheetId="1" r:id="rId1"/>
    <sheet name="MMOI Estimate from M and ROG" sheetId="2" r:id="rId2"/>
    <sheet name="Torsional Stiffness" sheetId="3" r:id="rId3"/>
    <sheet name="MMOI through Reduction Ratio" sheetId="4" r:id="rId4"/>
  </sheets>
  <definedNames/>
  <calcPr fullCalcOnLoad="1"/>
</workbook>
</file>

<file path=xl/sharedStrings.xml><?xml version="1.0" encoding="utf-8"?>
<sst xmlns="http://schemas.openxmlformats.org/spreadsheetml/2006/main" count="108" uniqueCount="84">
  <si>
    <t>MASS MOMENT OF INERTIA</t>
  </si>
  <si>
    <t>BIFILAR PENDUMUM METHOD</t>
  </si>
  <si>
    <t>I = Inertia, slugs/ft^2</t>
  </si>
  <si>
    <t>w = weight, in pounds</t>
  </si>
  <si>
    <t>r = radius of the wires from center of rotation, in feet</t>
  </si>
  <si>
    <t>t = time in seconds, each oscillation</t>
  </si>
  <si>
    <t>L = wire length, in feet</t>
  </si>
  <si>
    <t>weight of inertial mass</t>
  </si>
  <si>
    <t>pounds  +</t>
  </si>
  <si>
    <t>ounces   =</t>
  </si>
  <si>
    <t>lbs</t>
  </si>
  <si>
    <t>radius of wires from center of rotation</t>
  </si>
  <si>
    <t>inches =</t>
  </si>
  <si>
    <t>feet</t>
  </si>
  <si>
    <t>counted cycles</t>
  </si>
  <si>
    <t>cycles in</t>
  </si>
  <si>
    <t>seconds =</t>
  </si>
  <si>
    <t>seconds per cycle</t>
  </si>
  <si>
    <t>w</t>
  </si>
  <si>
    <t>weight</t>
  </si>
  <si>
    <t xml:space="preserve">lbs        </t>
  </si>
  <si>
    <t>r</t>
  </si>
  <si>
    <t>radius</t>
  </si>
  <si>
    <t xml:space="preserve">feet        </t>
  </si>
  <si>
    <t>t</t>
  </si>
  <si>
    <t>time</t>
  </si>
  <si>
    <t xml:space="preserve">seconds </t>
  </si>
  <si>
    <t>L</t>
  </si>
  <si>
    <t>length</t>
  </si>
  <si>
    <t xml:space="preserve">Inertia = </t>
  </si>
  <si>
    <t>slug ft^2</t>
  </si>
  <si>
    <t>INERTIA UNITS CONVERSION:</t>
  </si>
  <si>
    <t xml:space="preserve">lbm ft^2 </t>
  </si>
  <si>
    <t xml:space="preserve">lbm in^2 </t>
  </si>
  <si>
    <t xml:space="preserve">slugs in^2 </t>
  </si>
  <si>
    <t xml:space="preserve">lbf sec^2 in </t>
  </si>
  <si>
    <t xml:space="preserve">kg m^2 </t>
  </si>
  <si>
    <t>MASS MOMENT OF INERTIA ESTIMATION</t>
  </si>
  <si>
    <t>FROM MASS AND RADIUS OF GYRATION</t>
  </si>
  <si>
    <t>Inertia = mass x radius of gyration squared</t>
  </si>
  <si>
    <t>I = mk^2</t>
  </si>
  <si>
    <t>m - mass</t>
  </si>
  <si>
    <t>lbs =</t>
  </si>
  <si>
    <t>slugs</t>
  </si>
  <si>
    <t>_____________________________________________________________________________________</t>
  </si>
  <si>
    <t>solid round</t>
  </si>
  <si>
    <t>OD inch =</t>
  </si>
  <si>
    <t xml:space="preserve">     ROG =</t>
  </si>
  <si>
    <t>hollow shaft, cylinder, or ring</t>
  </si>
  <si>
    <t xml:space="preserve">        ID =</t>
  </si>
  <si>
    <t xml:space="preserve">    ROG =</t>
  </si>
  <si>
    <t>length =</t>
  </si>
  <si>
    <t>steel</t>
  </si>
  <si>
    <t>aluminum</t>
  </si>
  <si>
    <t>ID =</t>
  </si>
  <si>
    <t>Calculate radius of gyration for entry in C10:</t>
  </si>
  <si>
    <t>Calculate weight in pounds for entry in C9:</t>
  </si>
  <si>
    <t>slugs ft^2</t>
  </si>
  <si>
    <t>slug ft^2 =</t>
  </si>
  <si>
    <t>Inputs in green, results in yellow</t>
  </si>
  <si>
    <t>Dan Horton</t>
  </si>
  <si>
    <t>Rev 7-2021</t>
  </si>
  <si>
    <t>MMOI CONVERSIONS:</t>
  </si>
  <si>
    <t xml:space="preserve">Mass Moment of Inertia (MMOI) = </t>
  </si>
  <si>
    <t>k - radius of gyration</t>
  </si>
  <si>
    <t>I = w [ r t / ( 2 pi ) ]^2 / L, where</t>
  </si>
  <si>
    <t>Weights assume 0.283 lbs/in^3 for steel and 0.0975 lbs/in^2 for 6061 aluminum.</t>
  </si>
  <si>
    <t>Break component into discrete parts.  Enter dimensions as appropriate to calculate weight and radius of gyration, then enter results above.  Weights and inertias are additive.</t>
  </si>
  <si>
    <t>Torsional Stiffness of a Tubular Shaft</t>
  </si>
  <si>
    <t>Dan Horton    Rev 7-2021</t>
  </si>
  <si>
    <t>Torsional stiffness (K) of a simple constant cross section tube</t>
  </si>
  <si>
    <t>(G x J / L) / 12 = ft-lbs/radian, where:</t>
  </si>
  <si>
    <t>G = shear modulus of the shaft material</t>
  </si>
  <si>
    <t>(steels are 11 to 12 million, consult reliable materials data)</t>
  </si>
  <si>
    <t>J = Pi x ( outside radius^4 - inside radius^4 ) / 2</t>
  </si>
  <si>
    <t>L = length of tube</t>
  </si>
  <si>
    <t>OD</t>
  </si>
  <si>
    <t>ID</t>
  </si>
  <si>
    <t>Length</t>
  </si>
  <si>
    <t>inch</t>
  </si>
  <si>
    <t>G</t>
  </si>
  <si>
    <t>ft-lbs/radian</t>
  </si>
  <si>
    <t xml:space="preserve">J </t>
  </si>
  <si>
    <t xml:space="preserve">K =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</si>
</sst>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#,##0.00000"/>
    <numFmt numFmtId="167" formatCode="#,##0.000"/>
    <numFmt numFmtId="168" formatCode="#,##0.000000"/>
    <numFmt numFmtId="169" formatCode="#,##0.0000"/>
    <numFmt numFmtId="170" formatCode="0.0000"/>
    <numFmt numFmtId="171" formatCode="0.0"/>
    <numFmt numFmtId="172" formatCode="0.00000"/>
    <numFmt numFmtId="173" formatCode="0.000000"/>
    <numFmt numFmtId="174" formatCode="0.0000000"/>
    <numFmt numFmtId="175" formatCode="0.0000000000"/>
    <numFmt numFmtId="176" formatCode="0.000000000"/>
    <numFmt numFmtId="177" formatCode="0.00000000000"/>
    <numFmt numFmtId="178" formatCode="0.000000000000"/>
    <numFmt numFmtId="179" formatCode="0.0000000000000"/>
    <numFmt numFmtId="180" formatCode="0.00000000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5" borderId="0" xfId="0" applyFont="1" applyFill="1" applyAlignment="1">
      <alignment/>
    </xf>
    <xf numFmtId="166" fontId="0" fillId="0" borderId="0" xfId="0" applyNumberFormat="1" applyAlignment="1">
      <alignment/>
    </xf>
    <xf numFmtId="17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73" fontId="0" fillId="33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173" fontId="0" fillId="37" borderId="0" xfId="0" applyNumberFormat="1" applyFill="1" applyAlignment="1">
      <alignment/>
    </xf>
    <xf numFmtId="0" fontId="0" fillId="38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0" borderId="0" xfId="0" applyFont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466725</xdr:colOff>
      <xdr:row>0</xdr:row>
      <xdr:rowOff>123825</xdr:rowOff>
    </xdr:from>
    <xdr:to>
      <xdr:col>17</xdr:col>
      <xdr:colOff>466725</xdr:colOff>
      <xdr:row>36</xdr:row>
      <xdr:rowOff>76200</xdr:rowOff>
    </xdr:to>
    <xdr:pic>
      <xdr:nvPicPr>
        <xdr:cNvPr id="1" name="Picture 4" descr="Bifillar Illustrat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23825"/>
          <a:ext cx="4267200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0</xdr:rowOff>
    </xdr:from>
    <xdr:to>
      <xdr:col>15</xdr:col>
      <xdr:colOff>114300</xdr:colOff>
      <xdr:row>20</xdr:row>
      <xdr:rowOff>114300</xdr:rowOff>
    </xdr:to>
    <xdr:pic>
      <xdr:nvPicPr>
        <xdr:cNvPr id="1" name="Picture 2" descr="Flywheel Examp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53911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104775</xdr:rowOff>
    </xdr:from>
    <xdr:to>
      <xdr:col>12</xdr:col>
      <xdr:colOff>152400</xdr:colOff>
      <xdr:row>35</xdr:row>
      <xdr:rowOff>28575</xdr:rowOff>
    </xdr:to>
    <xdr:pic>
      <xdr:nvPicPr>
        <xdr:cNvPr id="1" name="Picture 1" descr="ScreenHunter_874 Jul. 15 08.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7467600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PageLayoutView="0" workbookViewId="0" topLeftCell="A1">
      <selection activeCell="G23" sqref="G23"/>
    </sheetView>
  </sheetViews>
  <sheetFormatPr defaultColWidth="9.140625" defaultRowHeight="12.75"/>
  <cols>
    <col min="1" max="1" width="12.57421875" style="0" customWidth="1"/>
    <col min="2" max="2" width="12.421875" style="0" customWidth="1"/>
  </cols>
  <sheetData>
    <row r="1" spans="1:6" ht="12.75">
      <c r="A1" s="23" t="s">
        <v>0</v>
      </c>
      <c r="B1" s="24"/>
      <c r="C1" s="24"/>
      <c r="D1" s="22"/>
      <c r="E1" s="22" t="s">
        <v>60</v>
      </c>
      <c r="F1" s="22"/>
    </row>
    <row r="2" spans="1:6" ht="12.75">
      <c r="A2" s="23" t="s">
        <v>1</v>
      </c>
      <c r="B2" s="24"/>
      <c r="C2" s="24"/>
      <c r="D2" s="22"/>
      <c r="E2" s="22" t="s">
        <v>61</v>
      </c>
      <c r="F2" s="22"/>
    </row>
    <row r="4" ht="12.75">
      <c r="A4" t="s">
        <v>65</v>
      </c>
    </row>
    <row r="6" ht="12.75">
      <c r="A6" s="1" t="s">
        <v>2</v>
      </c>
    </row>
    <row r="7" ht="12.75">
      <c r="A7" s="1" t="s">
        <v>3</v>
      </c>
    </row>
    <row r="8" ht="12.75">
      <c r="A8" s="1" t="s">
        <v>4</v>
      </c>
    </row>
    <row r="9" ht="12.75">
      <c r="A9" s="1" t="s">
        <v>5</v>
      </c>
    </row>
    <row r="10" ht="12.75">
      <c r="A10" s="1" t="s">
        <v>6</v>
      </c>
    </row>
    <row r="12" spans="1:3" ht="12.75">
      <c r="A12" s="9" t="s">
        <v>59</v>
      </c>
      <c r="B12" s="14"/>
      <c r="C12" s="14"/>
    </row>
    <row r="13" spans="1:3" ht="12.75">
      <c r="A13" s="9"/>
      <c r="B13" s="14"/>
      <c r="C13" s="14"/>
    </row>
    <row r="14" spans="1:15" ht="12.75">
      <c r="A14" s="3" t="s">
        <v>7</v>
      </c>
      <c r="B14" s="3"/>
      <c r="C14" s="3"/>
      <c r="D14" s="3"/>
      <c r="E14" s="2">
        <v>20</v>
      </c>
      <c r="F14" s="1" t="s">
        <v>8</v>
      </c>
      <c r="G14" s="2">
        <v>4</v>
      </c>
      <c r="H14" s="1" t="s">
        <v>9</v>
      </c>
      <c r="I14" s="4">
        <f>E14+(G14/16)</f>
        <v>20.25</v>
      </c>
      <c r="J14" s="1" t="s">
        <v>10</v>
      </c>
      <c r="L14" s="3"/>
      <c r="M14" s="5"/>
      <c r="N14" s="3"/>
      <c r="O14" s="3"/>
    </row>
    <row r="15" spans="1:15" ht="12.75">
      <c r="A15" s="3" t="s">
        <v>11</v>
      </c>
      <c r="B15" s="3"/>
      <c r="C15" s="3"/>
      <c r="D15" s="3"/>
      <c r="E15" s="2">
        <v>6</v>
      </c>
      <c r="F15" s="1" t="s">
        <v>12</v>
      </c>
      <c r="G15" s="3"/>
      <c r="H15" s="1"/>
      <c r="I15" s="6">
        <f>E15/12</f>
        <v>0.5</v>
      </c>
      <c r="J15" s="1" t="s">
        <v>13</v>
      </c>
      <c r="L15" s="3"/>
      <c r="M15" s="3"/>
      <c r="N15" s="3"/>
      <c r="O15" s="3"/>
    </row>
    <row r="16" spans="1:15" ht="12.75">
      <c r="A16" s="3" t="s">
        <v>14</v>
      </c>
      <c r="B16" s="3"/>
      <c r="C16" s="3"/>
      <c r="D16" s="3"/>
      <c r="E16" s="2">
        <v>17</v>
      </c>
      <c r="F16" s="1" t="s">
        <v>15</v>
      </c>
      <c r="G16" s="2">
        <v>120</v>
      </c>
      <c r="H16" s="1" t="s">
        <v>16</v>
      </c>
      <c r="I16" s="4">
        <f>G16/E16</f>
        <v>7.0588235294117645</v>
      </c>
      <c r="J16" s="1" t="s">
        <v>17</v>
      </c>
      <c r="L16" s="3"/>
      <c r="M16" s="5"/>
      <c r="N16" s="3"/>
      <c r="O16" s="3"/>
    </row>
    <row r="17" spans="5:9" ht="12.75">
      <c r="E17" s="3"/>
      <c r="F17" s="3"/>
      <c r="G17" s="3"/>
      <c r="H17" s="3"/>
      <c r="I17" s="3"/>
    </row>
    <row r="18" spans="1:9" ht="12.75">
      <c r="A18" s="1" t="s">
        <v>18</v>
      </c>
      <c r="B18" s="1" t="s">
        <v>19</v>
      </c>
      <c r="C18" s="4">
        <f>I14</f>
        <v>20.25</v>
      </c>
      <c r="D18" s="1" t="s">
        <v>20</v>
      </c>
      <c r="E18" s="3"/>
      <c r="F18" s="3"/>
      <c r="G18" s="3"/>
      <c r="H18" s="3"/>
      <c r="I18" s="5"/>
    </row>
    <row r="19" spans="1:9" ht="12.75">
      <c r="A19" s="1" t="s">
        <v>21</v>
      </c>
      <c r="B19" s="1" t="s">
        <v>22</v>
      </c>
      <c r="C19" s="6">
        <f>I15</f>
        <v>0.5</v>
      </c>
      <c r="D19" s="1" t="s">
        <v>23</v>
      </c>
      <c r="E19" s="3"/>
      <c r="F19" s="3"/>
      <c r="G19" s="3"/>
      <c r="H19" s="3"/>
      <c r="I19" s="3"/>
    </row>
    <row r="20" spans="1:9" ht="12.75">
      <c r="A20" s="1" t="s">
        <v>24</v>
      </c>
      <c r="B20" s="1" t="s">
        <v>25</v>
      </c>
      <c r="C20" s="4">
        <f>I16</f>
        <v>7.0588235294117645</v>
      </c>
      <c r="D20" s="1" t="s">
        <v>26</v>
      </c>
      <c r="E20" s="3"/>
      <c r="F20" s="3"/>
      <c r="G20" s="3"/>
      <c r="H20" s="3"/>
      <c r="I20" s="5"/>
    </row>
    <row r="21" spans="1:4" ht="12.75">
      <c r="A21" s="1" t="s">
        <v>27</v>
      </c>
      <c r="B21" s="1" t="s">
        <v>28</v>
      </c>
      <c r="C21" s="2">
        <v>6</v>
      </c>
      <c r="D21" s="1" t="s">
        <v>13</v>
      </c>
    </row>
    <row r="23" spans="1:3" ht="12.75">
      <c r="A23" s="6" t="s">
        <v>29</v>
      </c>
      <c r="B23" s="17">
        <f>C18*((C19*C20/6.28)^2)/C21</f>
        <v>1.0660047692439216</v>
      </c>
      <c r="C23" s="6" t="s">
        <v>30</v>
      </c>
    </row>
    <row r="25" ht="12.75">
      <c r="A25" s="7" t="s">
        <v>31</v>
      </c>
    </row>
    <row r="27" spans="1:2" ht="12.75">
      <c r="A27" s="17">
        <f>B23</f>
        <v>1.0660047692439216</v>
      </c>
      <c r="B27" s="3" t="s">
        <v>30</v>
      </c>
    </row>
    <row r="28" spans="1:2" ht="12.75">
      <c r="A28" s="4"/>
      <c r="B28" s="3"/>
    </row>
    <row r="29" spans="1:2" ht="12.75">
      <c r="A29" s="17">
        <f>B23*32.17</f>
        <v>34.29337342657696</v>
      </c>
      <c r="B29" s="3" t="s">
        <v>32</v>
      </c>
    </row>
    <row r="30" spans="1:2" ht="12.75">
      <c r="A30" s="17">
        <f>B23*4632.5</f>
        <v>4938.267093522467</v>
      </c>
      <c r="B30" s="3" t="s">
        <v>33</v>
      </c>
    </row>
    <row r="31" spans="1:2" ht="12.75">
      <c r="A31" s="17">
        <f>B23*144</f>
        <v>153.5046867711247</v>
      </c>
      <c r="B31" s="3" t="s">
        <v>34</v>
      </c>
    </row>
    <row r="32" spans="1:2" ht="12.75">
      <c r="A32" s="17">
        <f>B23*12</f>
        <v>12.79205723092706</v>
      </c>
      <c r="B32" s="3" t="s">
        <v>35</v>
      </c>
    </row>
    <row r="33" spans="1:2" ht="12.75">
      <c r="A33" s="17">
        <f>B23*1.3554</f>
        <v>1.4448628642332113</v>
      </c>
      <c r="B33" s="3" t="s">
        <v>36</v>
      </c>
    </row>
    <row r="35" spans="1:3" ht="12.75">
      <c r="A35" s="9"/>
      <c r="B35" s="9"/>
      <c r="C35" s="14"/>
    </row>
    <row r="36" spans="1:3" ht="12.75">
      <c r="A36" s="28"/>
      <c r="B36" s="9"/>
      <c r="C36" s="1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12.57421875" style="1" customWidth="1"/>
    <col min="2" max="2" width="14.421875" style="0" customWidth="1"/>
    <col min="3" max="3" width="10.57421875" style="0" bestFit="1" customWidth="1"/>
    <col min="8" max="8" width="10.57421875" style="0" bestFit="1" customWidth="1"/>
  </cols>
  <sheetData>
    <row r="1" spans="1:6" ht="12.75">
      <c r="A1" s="23" t="s">
        <v>37</v>
      </c>
      <c r="B1" s="24"/>
      <c r="C1" s="24"/>
      <c r="D1" s="24"/>
      <c r="E1" s="26" t="s">
        <v>60</v>
      </c>
      <c r="F1" s="22"/>
    </row>
    <row r="2" spans="1:6" ht="12.75">
      <c r="A2" s="23" t="s">
        <v>38</v>
      </c>
      <c r="B2" s="24"/>
      <c r="C2" s="24"/>
      <c r="D2" s="24"/>
      <c r="E2" s="26" t="s">
        <v>61</v>
      </c>
      <c r="F2" s="22"/>
    </row>
    <row r="3" ht="12.75">
      <c r="A3" s="7"/>
    </row>
    <row r="4" spans="1:7" ht="12.75">
      <c r="A4" s="9" t="s">
        <v>59</v>
      </c>
      <c r="B4" s="14"/>
      <c r="C4" s="14"/>
      <c r="D4" s="14"/>
      <c r="E4" s="9"/>
      <c r="F4" s="14"/>
      <c r="G4" s="14"/>
    </row>
    <row r="5" spans="1:3" ht="12.75">
      <c r="A5" s="3"/>
      <c r="B5" s="14"/>
      <c r="C5" s="14"/>
    </row>
    <row r="6" spans="1:26" ht="12.75">
      <c r="A6" s="21" t="s">
        <v>39</v>
      </c>
      <c r="B6" s="22"/>
      <c r="C6" s="22"/>
      <c r="X6" s="8"/>
      <c r="Y6" s="8"/>
      <c r="Z6" s="8"/>
    </row>
    <row r="7" spans="1:26" ht="12.75">
      <c r="A7" s="21" t="s">
        <v>40</v>
      </c>
      <c r="B7" s="22"/>
      <c r="C7" s="22"/>
      <c r="E7" s="9"/>
      <c r="F7" s="14"/>
      <c r="G7" s="9"/>
      <c r="X7" s="8"/>
      <c r="Y7" s="8"/>
      <c r="Z7" s="8"/>
    </row>
    <row r="8" spans="1:26" ht="12.75">
      <c r="A8" s="9"/>
      <c r="B8" s="9"/>
      <c r="C8" s="3"/>
      <c r="X8" s="8"/>
      <c r="Y8" s="8"/>
      <c r="Z8" s="8"/>
    </row>
    <row r="9" spans="1:26" ht="12.75">
      <c r="A9" s="10" t="s">
        <v>41</v>
      </c>
      <c r="B9" s="10"/>
      <c r="C9" s="19">
        <v>7.99758</v>
      </c>
      <c r="D9" s="1" t="s">
        <v>42</v>
      </c>
      <c r="E9" s="6">
        <f>C9*0.031085</f>
        <v>0.24860477430000003</v>
      </c>
      <c r="F9" s="1" t="s">
        <v>43</v>
      </c>
      <c r="X9" s="8"/>
      <c r="Y9" s="8"/>
      <c r="Z9" s="8"/>
    </row>
    <row r="10" spans="1:6" ht="12.75">
      <c r="A10" s="11" t="s">
        <v>64</v>
      </c>
      <c r="B10" s="12"/>
      <c r="C10" s="19">
        <v>4.527009</v>
      </c>
      <c r="D10" s="1" t="s">
        <v>12</v>
      </c>
      <c r="E10" s="6">
        <f>C10/12</f>
        <v>0.37725074999999997</v>
      </c>
      <c r="F10" s="1" t="s">
        <v>13</v>
      </c>
    </row>
    <row r="11" spans="4:7" ht="12.75">
      <c r="D11" s="14"/>
      <c r="E11" s="14"/>
      <c r="F11" s="14"/>
      <c r="G11" s="14"/>
    </row>
    <row r="12" spans="1:7" ht="12.75">
      <c r="A12" s="27" t="s">
        <v>63</v>
      </c>
      <c r="B12" s="25"/>
      <c r="C12" s="21"/>
      <c r="D12" s="22"/>
      <c r="E12" s="17">
        <f>E9*(E10^2)</f>
        <v>0.03538096618360514</v>
      </c>
      <c r="F12" t="s">
        <v>57</v>
      </c>
      <c r="G12" s="14"/>
    </row>
    <row r="13" spans="4:7" ht="12.75">
      <c r="D13" s="14"/>
      <c r="E13" s="14"/>
      <c r="F13" s="14"/>
      <c r="G13" s="14"/>
    </row>
    <row r="14" ht="12.75">
      <c r="A14" s="7" t="s">
        <v>62</v>
      </c>
    </row>
    <row r="15" spans="1:2" ht="12.75">
      <c r="A15" s="17">
        <f>E12</f>
        <v>0.03538096618360514</v>
      </c>
      <c r="B15" s="14" t="s">
        <v>58</v>
      </c>
    </row>
    <row r="16" spans="1:2" ht="12.75">
      <c r="A16" s="17">
        <f>E12*32.17</f>
        <v>1.1382056821265774</v>
      </c>
      <c r="B16" s="1" t="s">
        <v>32</v>
      </c>
    </row>
    <row r="17" spans="1:2" ht="12.75">
      <c r="A17" s="17">
        <f>E12*4632.5</f>
        <v>163.9023258455508</v>
      </c>
      <c r="B17" s="1" t="s">
        <v>33</v>
      </c>
    </row>
    <row r="18" spans="1:2" ht="12.75">
      <c r="A18" s="17">
        <f>E12*144</f>
        <v>5.09485913043914</v>
      </c>
      <c r="B18" s="1" t="s">
        <v>34</v>
      </c>
    </row>
    <row r="19" spans="1:2" ht="12.75">
      <c r="A19" s="17">
        <f>E12*12</f>
        <v>0.4245715942032616</v>
      </c>
      <c r="B19" s="1" t="s">
        <v>35</v>
      </c>
    </row>
    <row r="20" spans="1:2" ht="12.75">
      <c r="A20" s="17">
        <f>E12*1.3554</f>
        <v>0.047955361565258404</v>
      </c>
      <c r="B20" s="1" t="s">
        <v>36</v>
      </c>
    </row>
    <row r="21" ht="12.75">
      <c r="A21" s="7" t="s">
        <v>44</v>
      </c>
    </row>
    <row r="22" ht="12.75">
      <c r="A22" s="7" t="s">
        <v>67</v>
      </c>
    </row>
    <row r="23" ht="12.75">
      <c r="A23" s="7" t="s">
        <v>66</v>
      </c>
    </row>
    <row r="25" spans="1:19" ht="12.75">
      <c r="A25" s="18" t="s">
        <v>56</v>
      </c>
      <c r="B25" s="15"/>
      <c r="C25" s="15"/>
      <c r="D25" s="15"/>
      <c r="Q25" s="3"/>
      <c r="R25" s="14"/>
      <c r="S25" s="14"/>
    </row>
    <row r="26" spans="17:19" ht="12.75">
      <c r="Q26" s="3"/>
      <c r="R26" s="14"/>
      <c r="S26" s="14"/>
    </row>
    <row r="27" spans="1:17" ht="12.75">
      <c r="A27" s="15" t="s">
        <v>45</v>
      </c>
      <c r="B27" s="15"/>
      <c r="C27" s="13" t="s">
        <v>46</v>
      </c>
      <c r="D27" s="2">
        <v>2</v>
      </c>
      <c r="E27" s="13"/>
      <c r="F27" s="3"/>
      <c r="G27" s="13" t="s">
        <v>51</v>
      </c>
      <c r="H27" s="2">
        <v>0.5</v>
      </c>
      <c r="I27" s="13" t="s">
        <v>52</v>
      </c>
      <c r="J27" s="17">
        <f>(((D27/2)^2)*3.14)*H27*0.283</f>
        <v>0.44431</v>
      </c>
      <c r="K27" s="13" t="s">
        <v>53</v>
      </c>
      <c r="L27" s="17">
        <f>(((D27/2)^2)*3.14)*H27*0.0975</f>
        <v>0.15307500000000002</v>
      </c>
      <c r="M27" s="20" t="s">
        <v>10</v>
      </c>
      <c r="Q27" s="16"/>
    </row>
    <row r="28" ht="12.75">
      <c r="Q28" s="16"/>
    </row>
    <row r="29" spans="1:17" ht="12.75">
      <c r="A29" s="15" t="s">
        <v>48</v>
      </c>
      <c r="B29" s="15"/>
      <c r="C29" s="13" t="s">
        <v>46</v>
      </c>
      <c r="D29" s="2">
        <v>10</v>
      </c>
      <c r="E29" s="13" t="s">
        <v>54</v>
      </c>
      <c r="F29" s="2">
        <v>8</v>
      </c>
      <c r="G29" s="13" t="s">
        <v>51</v>
      </c>
      <c r="H29" s="2">
        <v>1</v>
      </c>
      <c r="I29" s="13" t="s">
        <v>52</v>
      </c>
      <c r="J29" s="17">
        <f>(((D29/2)^2-(F29/2)^2)*3.14)*H29*0.283</f>
        <v>7.99758</v>
      </c>
      <c r="K29" s="13" t="s">
        <v>53</v>
      </c>
      <c r="L29" s="17">
        <f>((((D29/2)^2)*3.14)-(((F29/2)^2)*3.14))*H29*0.0975</f>
        <v>2.75535</v>
      </c>
      <c r="M29" s="20" t="s">
        <v>10</v>
      </c>
      <c r="Q29" s="16"/>
    </row>
    <row r="30" ht="12.75">
      <c r="Q30" s="16"/>
    </row>
    <row r="31" spans="1:8" ht="12.75">
      <c r="A31" s="12" t="s">
        <v>55</v>
      </c>
      <c r="B31" s="12"/>
      <c r="C31" s="12"/>
      <c r="D31" s="12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12" t="s">
        <v>45</v>
      </c>
      <c r="B33" s="12"/>
      <c r="C33" s="13" t="s">
        <v>46</v>
      </c>
      <c r="D33" s="2">
        <v>2</v>
      </c>
      <c r="E33" s="3"/>
      <c r="F33" s="3"/>
      <c r="G33" s="3" t="s">
        <v>47</v>
      </c>
      <c r="H33" s="17">
        <f>SQRT(((D33/2)^2)/2)</f>
        <v>0.7071067811865476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12" t="s">
        <v>48</v>
      </c>
      <c r="B35" s="12"/>
      <c r="C35" s="13" t="s">
        <v>46</v>
      </c>
      <c r="D35" s="2">
        <v>10</v>
      </c>
      <c r="E35" s="3" t="s">
        <v>49</v>
      </c>
      <c r="F35" s="2">
        <v>8</v>
      </c>
      <c r="G35" s="3" t="s">
        <v>50</v>
      </c>
      <c r="H35" s="17">
        <f>0.707*(SQRT(((D35/2)^2)+((F35/2)^2)))</f>
        <v>4.527008835865024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7" sqref="B17"/>
    </sheetView>
  </sheetViews>
  <sheetFormatPr defaultColWidth="9.140625" defaultRowHeight="12.75"/>
  <sheetData>
    <row r="1" spans="1:8" ht="12.75">
      <c r="A1" s="29" t="s">
        <v>68</v>
      </c>
      <c r="B1" s="22"/>
      <c r="C1" s="22"/>
      <c r="D1" s="22"/>
      <c r="E1" s="22"/>
      <c r="F1" s="27" t="s">
        <v>69</v>
      </c>
      <c r="G1" s="22"/>
      <c r="H1" s="22"/>
    </row>
    <row r="3" ht="12.75">
      <c r="A3" s="30" t="s">
        <v>70</v>
      </c>
    </row>
    <row r="5" ht="12.75">
      <c r="A5" s="30" t="s">
        <v>71</v>
      </c>
    </row>
    <row r="7" ht="12.75">
      <c r="A7" s="30" t="s">
        <v>72</v>
      </c>
    </row>
    <row r="8" ht="12.75">
      <c r="B8" s="30" t="s">
        <v>73</v>
      </c>
    </row>
    <row r="9" ht="12.75">
      <c r="A9" s="30" t="s">
        <v>74</v>
      </c>
    </row>
    <row r="10" ht="12.75">
      <c r="A10" s="30" t="s">
        <v>75</v>
      </c>
    </row>
    <row r="12" spans="1:3" ht="12.75">
      <c r="A12" s="30" t="s">
        <v>76</v>
      </c>
      <c r="B12" s="31">
        <v>2</v>
      </c>
      <c r="C12" s="30" t="s">
        <v>79</v>
      </c>
    </row>
    <row r="13" spans="1:3" ht="12.75">
      <c r="A13" s="30" t="s">
        <v>77</v>
      </c>
      <c r="B13" s="31">
        <v>1.5</v>
      </c>
      <c r="C13" s="30" t="s">
        <v>79</v>
      </c>
    </row>
    <row r="14" spans="1:3" ht="12.75">
      <c r="A14" s="30" t="s">
        <v>78</v>
      </c>
      <c r="B14" s="31">
        <v>12</v>
      </c>
      <c r="C14" s="30" t="s">
        <v>79</v>
      </c>
    </row>
    <row r="15" spans="1:3" ht="12.75">
      <c r="A15" s="30" t="s">
        <v>80</v>
      </c>
      <c r="B15" s="31">
        <v>12000000</v>
      </c>
      <c r="C15" s="30"/>
    </row>
    <row r="17" spans="1:3" ht="12.75">
      <c r="A17" s="30" t="s">
        <v>82</v>
      </c>
      <c r="B17" s="32">
        <f>3.14*(((B12/2)^4)-((B13/2)^4))/2</f>
        <v>1.0732421875</v>
      </c>
      <c r="C17" s="30"/>
    </row>
    <row r="18" spans="1:3" ht="12.75">
      <c r="A18" s="30" t="s">
        <v>83</v>
      </c>
      <c r="B18" s="32">
        <f>((B15*B17)/B14)/12</f>
        <v>89436.84895833333</v>
      </c>
      <c r="C18" s="30" t="s">
        <v>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O14" sqref="O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wks</dc:creator>
  <cp:keywords/>
  <dc:description/>
  <cp:lastModifiedBy>wks</cp:lastModifiedBy>
  <dcterms:created xsi:type="dcterms:W3CDTF">2021-07-12T21:34:50Z</dcterms:created>
  <dcterms:modified xsi:type="dcterms:W3CDTF">2021-07-16T14:08:52Z</dcterms:modified>
  <cp:category/>
  <cp:version/>
  <cp:contentType/>
  <cp:contentStatus/>
</cp:coreProperties>
</file>