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915" windowWidth="7995" windowHeight="7230" tabRatio="829" activeTab="0"/>
  </bookViews>
  <sheets>
    <sheet name="Propeller Design" sheetId="1" r:id="rId1"/>
  </sheets>
  <definedNames/>
  <calcPr fullCalcOnLoad="1"/>
</workbook>
</file>

<file path=xl/sharedStrings.xml><?xml version="1.0" encoding="utf-8"?>
<sst xmlns="http://schemas.openxmlformats.org/spreadsheetml/2006/main" count="279" uniqueCount="202">
  <si>
    <t>inches</t>
  </si>
  <si>
    <t>This spreadsheet is for educational purposes only and may contain errors.  Any attempt to use the results for actual design purposes are done at the user's own risk.</t>
  </si>
  <si>
    <t>feet</t>
  </si>
  <si>
    <t>Input required in yellow cells</t>
  </si>
  <si>
    <t>Propeller Diameter:</t>
  </si>
  <si>
    <t>Propeller advance ratio, J =</t>
  </si>
  <si>
    <t>mph</t>
  </si>
  <si>
    <t>Propeller sizing spreadsheet</t>
  </si>
  <si>
    <t>Written by Neal Willford 3/6/04 for Sport Aviation</t>
  </si>
  <si>
    <t>Altitude:</t>
  </si>
  <si>
    <t>Den. Altitude=</t>
  </si>
  <si>
    <t>Air temperature:</t>
  </si>
  <si>
    <t>deg F</t>
  </si>
  <si>
    <t>Std Day Temp=</t>
  </si>
  <si>
    <t>Rho=</t>
  </si>
  <si>
    <t>Cor Sigma=</t>
  </si>
  <si>
    <t>Sqrt Sigma=</t>
  </si>
  <si>
    <t xml:space="preserve">bhp </t>
  </si>
  <si>
    <t>Theta std</t>
  </si>
  <si>
    <t>Sigma Std=</t>
  </si>
  <si>
    <t>bhp at sea level</t>
  </si>
  <si>
    <t xml:space="preserve">Conditions for propeller design point </t>
  </si>
  <si>
    <t>ft/sec</t>
  </si>
  <si>
    <t>Diameter =</t>
  </si>
  <si>
    <t>Pitch =</t>
  </si>
  <si>
    <t>Prop Tip Speed=</t>
  </si>
  <si>
    <t>Prop efficiency=</t>
  </si>
  <si>
    <t>J =</t>
  </si>
  <si>
    <t>Tip speed =</t>
  </si>
  <si>
    <t>Pct =</t>
  </si>
  <si>
    <t>design air speed =</t>
  </si>
  <si>
    <t>ft/s</t>
  </si>
  <si>
    <t>w average:</t>
  </si>
  <si>
    <t>Jmod =</t>
  </si>
  <si>
    <t>k =</t>
  </si>
  <si>
    <t>Two Blade Propeller Sizing using Theodorsen's method (from NACA TR 924)</t>
  </si>
  <si>
    <t>e/k =</t>
  </si>
  <si>
    <t>Pc =</t>
  </si>
  <si>
    <t>** iterate until Pc equals Pct **</t>
  </si>
  <si>
    <t>determining the displacement velocity to forward velocity ratio, w average</t>
  </si>
  <si>
    <t>Pc/k =</t>
  </si>
  <si>
    <t>Propeller integrated lift coefficient:</t>
  </si>
  <si>
    <t>Blade Station</t>
  </si>
  <si>
    <t>tan phi</t>
  </si>
  <si>
    <t>K(x)</t>
  </si>
  <si>
    <t>local Jmod</t>
  </si>
  <si>
    <t>phi</t>
  </si>
  <si>
    <t>radius</t>
  </si>
  <si>
    <t>(inches)</t>
  </si>
  <si>
    <t>(radians)</t>
  </si>
  <si>
    <t>(degrees)</t>
  </si>
  <si>
    <t>includes w average</t>
  </si>
  <si>
    <t>b/D</t>
  </si>
  <si>
    <t>This method gives the blade chord and pitch distribution needed for optimum efficiency for the design conditions</t>
  </si>
  <si>
    <t>optimum chord</t>
  </si>
  <si>
    <t>distribution</t>
  </si>
  <si>
    <t>chord distribution</t>
  </si>
  <si>
    <t>Suggested</t>
  </si>
  <si>
    <t>thick/chord</t>
  </si>
  <si>
    <t>*** Do not change blade stations as K(x) depends on the exact values shown ***</t>
  </si>
  <si>
    <t>Lift slope</t>
  </si>
  <si>
    <t>angle for</t>
  </si>
  <si>
    <t xml:space="preserve">to bottom </t>
  </si>
  <si>
    <t>Blade angle</t>
  </si>
  <si>
    <t>r/R</t>
  </si>
  <si>
    <t>Pitch at 75% propeller radius =</t>
  </si>
  <si>
    <t>inches (measured at bottom of blade)</t>
  </si>
  <si>
    <t>Airspeed:</t>
  </si>
  <si>
    <t>Vx/Vo</t>
  </si>
  <si>
    <t>input is for RAF-6 airfoil with varying thickness.  If using another airfoil, replace lift slope and zero alpha in yellow cells below</t>
  </si>
  <si>
    <t>Climb Prop</t>
  </si>
  <si>
    <t>Service or Peak Efficiency Prop</t>
  </si>
  <si>
    <t>Suggested two blade wooden propeller Diameter and Pitch (at 75% radius) using equations from Diehl's book</t>
  </si>
  <si>
    <t>Cruise Prop</t>
  </si>
  <si>
    <t>chord distribution is actual chord length, not projected chord length (as would be seen from viewing the prop from the front)</t>
  </si>
  <si>
    <t>Est. airspeed ratio at each station</t>
  </si>
  <si>
    <t>NACA TN-212 chord distribution for the given diameter is also shown for comparison</t>
  </si>
  <si>
    <t>NACA TN-212</t>
  </si>
  <si>
    <t>lbs (approximate)</t>
  </si>
  <si>
    <t>Est. airspeed =</t>
  </si>
  <si>
    <t>Area constant:</t>
  </si>
  <si>
    <t>I constant:</t>
  </si>
  <si>
    <t>0.738 for RAF-6, 0.7245 for Clark Y</t>
  </si>
  <si>
    <t>0.0472 for RAF-6, 0.0454 for Clark Y</t>
  </si>
  <si>
    <t>vertical CG const:</t>
  </si>
  <si>
    <t>Chord distribution:</t>
  </si>
  <si>
    <t>Enter 1 for optimum distribution, 2 for NACA TN-212 distribution</t>
  </si>
  <si>
    <t>chord</t>
  </si>
  <si>
    <t>thickness</t>
  </si>
  <si>
    <t>Design speed:</t>
  </si>
  <si>
    <t>Design RPM:</t>
  </si>
  <si>
    <t>Est climb speed =</t>
  </si>
  <si>
    <t>Climb RPM:</t>
  </si>
  <si>
    <t>Est. climb RPM =</t>
  </si>
  <si>
    <t xml:space="preserve">J climb = </t>
  </si>
  <si>
    <t>Design diameter =</t>
  </si>
  <si>
    <t>design efficiency =</t>
  </si>
  <si>
    <t>lbs</t>
  </si>
  <si>
    <t>Est. thrust/blade =</t>
  </si>
  <si>
    <t>est. efficiency =</t>
  </si>
  <si>
    <t>c =</t>
  </si>
  <si>
    <t>lbs/inch</t>
  </si>
  <si>
    <t>Thrust loading</t>
  </si>
  <si>
    <t>(lbs/inch)</t>
  </si>
  <si>
    <t>Shear</t>
  </si>
  <si>
    <t>(lbs)</t>
  </si>
  <si>
    <t>(in-lbs)</t>
  </si>
  <si>
    <t>APPROXIMATE</t>
  </si>
  <si>
    <t>Section</t>
  </si>
  <si>
    <t>Area</t>
  </si>
  <si>
    <t>(sq. in.)</t>
  </si>
  <si>
    <t>Moment</t>
  </si>
  <si>
    <t>of Inertia</t>
  </si>
  <si>
    <t>(in^4)</t>
  </si>
  <si>
    <t xml:space="preserve">vertical </t>
  </si>
  <si>
    <t>C.G</t>
  </si>
  <si>
    <t>Birch</t>
  </si>
  <si>
    <t>Density</t>
  </si>
  <si>
    <t>(lbs/in^3)</t>
  </si>
  <si>
    <t>(psi)</t>
  </si>
  <si>
    <t>E</t>
  </si>
  <si>
    <t>Mahogany</t>
  </si>
  <si>
    <t>Propeller airfoil structural properties</t>
  </si>
  <si>
    <t>Enter values for</t>
  </si>
  <si>
    <t>prop material:</t>
  </si>
  <si>
    <t>ANC-12 properties for some woods used for propellers</t>
  </si>
  <si>
    <t>omega =</t>
  </si>
  <si>
    <t>radians/sec</t>
  </si>
  <si>
    <t>delta centrifugal</t>
  </si>
  <si>
    <t>force</t>
  </si>
  <si>
    <t>(lbs/in)</t>
  </si>
  <si>
    <t>Centrifugal</t>
  </si>
  <si>
    <t>Force</t>
  </si>
  <si>
    <t>Tensile</t>
  </si>
  <si>
    <t>C.F. stress</t>
  </si>
  <si>
    <t>Combined Bending &amp; Centrifugal Stress</t>
  </si>
  <si>
    <t>Reduction</t>
  </si>
  <si>
    <t>Factor</t>
  </si>
  <si>
    <t>Estimated</t>
  </si>
  <si>
    <t>Moment/EI</t>
  </si>
  <si>
    <t>Slope</t>
  </si>
  <si>
    <t>Deflection</t>
  </si>
  <si>
    <t>delta C.F. x defl</t>
  </si>
  <si>
    <t>(in-lbs/in)</t>
  </si>
  <si>
    <t>Corrected</t>
  </si>
  <si>
    <t>due to C.F.</t>
  </si>
  <si>
    <t>mom. Reduction</t>
  </si>
  <si>
    <t>Based on methods presented in "Aircraft Propeller Design" by Weick and "Airplane Propeller Principles" by Nelson</t>
  </si>
  <si>
    <t>Uncorrected</t>
  </si>
  <si>
    <t>Stress</t>
  </si>
  <si>
    <t xml:space="preserve">Margin </t>
  </si>
  <si>
    <t xml:space="preserve">of </t>
  </si>
  <si>
    <t>Safety</t>
  </si>
  <si>
    <t>Tension strength</t>
  </si>
  <si>
    <t>ft/sec, ** max suggested 850 ft/s for wood props, 950  ft/s for metal props</t>
  </si>
  <si>
    <t>S.L. Static thrust =</t>
  </si>
  <si>
    <t>Rated Horsepower:</t>
  </si>
  <si>
    <t>% bhp</t>
  </si>
  <si>
    <t>Propeller RPM:</t>
  </si>
  <si>
    <t>bhp for the conditions</t>
  </si>
  <si>
    <t>bhp for pwr setting =</t>
  </si>
  <si>
    <t>due to cowl blockage (from 11/73 Sport Aviation)</t>
  </si>
  <si>
    <t>(for the design power setting)</t>
  </si>
  <si>
    <t>blade</t>
  </si>
  <si>
    <t>Blade upper</t>
  </si>
  <si>
    <t>Blade lower</t>
  </si>
  <si>
    <t>about 0.5 for RAF-6,  0.4 for Clark Y airfoils</t>
  </si>
  <si>
    <t>Based on methods presented in NACA TR-924 and "Engineering Aerodynamics" by W.S. Diehl</t>
  </si>
  <si>
    <t>Bending + C.F.</t>
  </si>
  <si>
    <t xml:space="preserve"> Start at r/R = 1 and iterate moment reduction factor until estimated moment and corrected moment values are approximately equal</t>
  </si>
  <si>
    <t>Do this for each r/R blade station, moving up the column as you go</t>
  </si>
  <si>
    <t>Black Walnut</t>
  </si>
  <si>
    <t>Blade upper and lower thickness distributions shown below are for a RAF-6 from 40-100% station and transitioning to a blended blade inboard</t>
  </si>
  <si>
    <t>propeller chord inboard of 0.4 blade station starts fairing into the hub shape</t>
  </si>
  <si>
    <t>lower surface inboard of 0.4 transitions from flat bottom to convex shape blending into the hub</t>
  </si>
  <si>
    <t>0.421 for RAF-6, 0.416 for Clark Y</t>
  </si>
  <si>
    <t>Air speed:</t>
  </si>
  <si>
    <t>Approx. thrust =</t>
  </si>
  <si>
    <t>Estimated Propeller Strength for the design diameter (for fixed pitch props, Nelson's book suggests climb case may be most severe)</t>
  </si>
  <si>
    <t>Cs =</t>
  </si>
  <si>
    <t>NACA TR-640 design for 2 blade propellers</t>
  </si>
  <si>
    <t>Pitch for Clark Y airfoil blades =</t>
  </si>
  <si>
    <t>Pitch for RAF-6 airfoil blades =</t>
  </si>
  <si>
    <t>zero cl*</t>
  </si>
  <si>
    <t>* angle for zero cl is measured from bottom of airfoil, not chord line</t>
  </si>
  <si>
    <t>RAF-6 Peak efficiency diameter =</t>
  </si>
  <si>
    <t>RAF-6 Max efficiency diameter =</t>
  </si>
  <si>
    <t>NACA TR-350 design for 2 blade propellers</t>
  </si>
  <si>
    <t>RAF-6 Maximum efficiency diameter =</t>
  </si>
  <si>
    <t>Clark Y Maximum efficiency diameter =</t>
  </si>
  <si>
    <t>The estimate is for a propeller  with a blade distribution from NACA TN-212 (shown further down in the spreadsheet) and RAF-6 airfoil</t>
  </si>
  <si>
    <t>Pitch is measured to bottom of the blade</t>
  </si>
  <si>
    <t>Est. Max Power =</t>
  </si>
  <si>
    <t>Design % Power:</t>
  </si>
  <si>
    <t>Ideal efficiency* =</t>
  </si>
  <si>
    <t>* efficiency does not include blade drag</t>
  </si>
  <si>
    <t>Oak</t>
  </si>
  <si>
    <t>RPM x Diameter =</t>
  </si>
  <si>
    <t>according to NACA TN-212:</t>
  </si>
  <si>
    <t>if less than 170,000 Spruce can be used</t>
  </si>
  <si>
    <t>if less than 210,000 Walnut, Mahogany or White Oak can be used</t>
  </si>
  <si>
    <t>if between 210,000 and 240,000 Birch should be used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</si>
</sst>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E+00;\?"/>
    <numFmt numFmtId="170" formatCode="0.00000E+00;\?"/>
    <numFmt numFmtId="171" formatCode="0.0000E+00;\?"/>
    <numFmt numFmtId="172" formatCode="0.000E+00;\?"/>
    <numFmt numFmtId="173" formatCode="0.00E+00;\?"/>
    <numFmt numFmtId="174" formatCode="0.0E+00;\?"/>
    <numFmt numFmtId="175" formatCode="0E+00;\?"/>
    <numFmt numFmtId="176" formatCode="0.00000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[$€-2]\ #,##0.00_);[Red]\([$€-2]\ #,##0.00\)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_);_(* \(#,##0.0000\);_(* &quot;-&quot;????_);_(@_)"/>
    <numFmt numFmtId="187" formatCode="0.0000000000"/>
    <numFmt numFmtId="188" formatCode="0.00000000000"/>
    <numFmt numFmtId="189" formatCode="0.000000000"/>
    <numFmt numFmtId="190" formatCode="_(* #,##0.000_);_(* \(#,##0.000\);_(* &quot;-&quot;???_);_(@_)"/>
  </numFmts>
  <fonts count="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0" fontId="0" fillId="3" borderId="1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/>
      <protection/>
    </xf>
    <xf numFmtId="0" fontId="0" fillId="3" borderId="6" xfId="0" applyNumberFormat="1" applyFont="1" applyFill="1" applyBorder="1" applyAlignment="1" applyProtection="1">
      <alignment/>
      <protection/>
    </xf>
    <xf numFmtId="0" fontId="0" fillId="3" borderId="7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8" fontId="3" fillId="4" borderId="0" xfId="0" applyNumberFormat="1" applyFont="1" applyFill="1" applyBorder="1" applyAlignment="1" applyProtection="1">
      <alignment/>
      <protection/>
    </xf>
    <xf numFmtId="0" fontId="3" fillId="4" borderId="1" xfId="0" applyNumberFormat="1" applyFont="1" applyFill="1" applyBorder="1" applyAlignment="1" applyProtection="1">
      <alignment/>
      <protection/>
    </xf>
    <xf numFmtId="1" fontId="3" fillId="2" borderId="1" xfId="0" applyNumberFormat="1" applyFont="1" applyFill="1" applyBorder="1" applyAlignment="1">
      <alignment/>
    </xf>
    <xf numFmtId="1" fontId="3" fillId="4" borderId="2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" fontId="3" fillId="2" borderId="3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left"/>
    </xf>
    <xf numFmtId="167" fontId="3" fillId="4" borderId="1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167" fontId="0" fillId="2" borderId="2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 applyProtection="1">
      <alignment horizontal="center"/>
      <protection/>
    </xf>
    <xf numFmtId="167" fontId="0" fillId="2" borderId="3" xfId="0" applyNumberFormat="1" applyFont="1" applyFill="1" applyBorder="1" applyAlignment="1">
      <alignment/>
    </xf>
    <xf numFmtId="167" fontId="0" fillId="2" borderId="1" xfId="0" applyNumberFormat="1" applyFont="1" applyFill="1" applyBorder="1" applyAlignment="1">
      <alignment/>
    </xf>
    <xf numFmtId="167" fontId="0" fillId="2" borderId="4" xfId="0" applyNumberFormat="1" applyFont="1" applyFill="1" applyBorder="1" applyAlignment="1">
      <alignment/>
    </xf>
    <xf numFmtId="167" fontId="0" fillId="2" borderId="6" xfId="0" applyNumberFormat="1" applyFont="1" applyFill="1" applyBorder="1" applyAlignment="1">
      <alignment/>
    </xf>
    <xf numFmtId="167" fontId="0" fillId="2" borderId="7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167" fontId="3" fillId="2" borderId="2" xfId="0" applyNumberFormat="1" applyFont="1" applyFill="1" applyBorder="1" applyAlignment="1">
      <alignment/>
    </xf>
    <xf numFmtId="167" fontId="3" fillId="4" borderId="0" xfId="0" applyNumberFormat="1" applyFont="1" applyFill="1" applyBorder="1" applyAlignment="1" applyProtection="1">
      <alignment horizontal="center"/>
      <protection/>
    </xf>
    <xf numFmtId="168" fontId="3" fillId="4" borderId="0" xfId="0" applyNumberFormat="1" applyFont="1" applyFill="1" applyBorder="1" applyAlignment="1" applyProtection="1">
      <alignment horizontal="center"/>
      <protection/>
    </xf>
    <xf numFmtId="1" fontId="0" fillId="2" borderId="3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 applyProtection="1">
      <alignment horizontal="center"/>
      <protection/>
    </xf>
    <xf numFmtId="1" fontId="0" fillId="2" borderId="8" xfId="0" applyNumberFormat="1" applyFont="1" applyFill="1" applyBorder="1" applyAlignment="1" applyProtection="1">
      <alignment horizontal="center"/>
      <protection/>
    </xf>
    <xf numFmtId="2" fontId="0" fillId="2" borderId="5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7" fontId="3" fillId="4" borderId="2" xfId="0" applyNumberFormat="1" applyFont="1" applyFill="1" applyBorder="1" applyAlignment="1" applyProtection="1">
      <alignment horizontal="center"/>
      <protection/>
    </xf>
    <xf numFmtId="168" fontId="3" fillId="4" borderId="2" xfId="0" applyNumberFormat="1" applyFont="1" applyFill="1" applyBorder="1" applyAlignment="1" applyProtection="1">
      <alignment horizontal="center"/>
      <protection/>
    </xf>
    <xf numFmtId="168" fontId="0" fillId="2" borderId="7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 applyProtection="1">
      <alignment/>
      <protection/>
    </xf>
    <xf numFmtId="168" fontId="0" fillId="3" borderId="0" xfId="0" applyNumberFormat="1" applyFont="1" applyFill="1" applyBorder="1" applyAlignment="1" applyProtection="1">
      <alignment/>
      <protection/>
    </xf>
    <xf numFmtId="0" fontId="0" fillId="3" borderId="5" xfId="0" applyNumberFormat="1" applyFont="1" applyFill="1" applyBorder="1" applyAlignment="1" applyProtection="1">
      <alignment/>
      <protection/>
    </xf>
    <xf numFmtId="0" fontId="0" fillId="3" borderId="8" xfId="0" applyNumberFormat="1" applyFont="1" applyFill="1" applyBorder="1" applyAlignment="1" applyProtection="1">
      <alignment/>
      <protection/>
    </xf>
    <xf numFmtId="1" fontId="3" fillId="4" borderId="1" xfId="0" applyNumberFormat="1" applyFont="1" applyFill="1" applyBorder="1" applyAlignment="1" applyProtection="1">
      <alignment/>
      <protection/>
    </xf>
    <xf numFmtId="1" fontId="3" fillId="2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 applyProtection="1">
      <alignment horizontal="right"/>
      <protection/>
    </xf>
    <xf numFmtId="2" fontId="0" fillId="3" borderId="0" xfId="0" applyNumberFormat="1" applyFont="1" applyFill="1" applyBorder="1" applyAlignment="1" applyProtection="1">
      <alignment/>
      <protection/>
    </xf>
    <xf numFmtId="1" fontId="3" fillId="2" borderId="5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168" fontId="3" fillId="3" borderId="5" xfId="0" applyNumberFormat="1" applyFont="1" applyFill="1" applyBorder="1" applyAlignment="1" applyProtection="1">
      <alignment/>
      <protection/>
    </xf>
    <xf numFmtId="1" fontId="0" fillId="3" borderId="2" xfId="0" applyNumberFormat="1" applyFont="1" applyFill="1" applyBorder="1" applyAlignment="1" applyProtection="1">
      <alignment/>
      <protection/>
    </xf>
    <xf numFmtId="0" fontId="3" fillId="4" borderId="0" xfId="0" applyFont="1" applyFill="1" applyBorder="1" applyAlignment="1">
      <alignment/>
    </xf>
    <xf numFmtId="2" fontId="3" fillId="2" borderId="8" xfId="0" applyNumberFormat="1" applyFont="1" applyFill="1" applyBorder="1" applyAlignment="1">
      <alignment horizontal="left"/>
    </xf>
    <xf numFmtId="1" fontId="0" fillId="3" borderId="0" xfId="0" applyNumberFormat="1" applyFont="1" applyFill="1" applyBorder="1" applyAlignment="1" applyProtection="1">
      <alignment/>
      <protection/>
    </xf>
    <xf numFmtId="167" fontId="3" fillId="4" borderId="0" xfId="0" applyNumberFormat="1" applyFont="1" applyFill="1" applyBorder="1" applyAlignment="1" applyProtection="1">
      <alignment horizontal="right"/>
      <protection/>
    </xf>
    <xf numFmtId="1" fontId="3" fillId="4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6" fontId="3" fillId="4" borderId="0" xfId="0" applyNumberFormat="1" applyFont="1" applyFill="1" applyBorder="1" applyAlignment="1" applyProtection="1">
      <alignment horizontal="right"/>
      <protection/>
    </xf>
    <xf numFmtId="2" fontId="0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right"/>
    </xf>
    <xf numFmtId="2" fontId="0" fillId="2" borderId="4" xfId="0" applyNumberFormat="1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 applyProtection="1">
      <alignment horizontal="right"/>
      <protection/>
    </xf>
    <xf numFmtId="2" fontId="0" fillId="2" borderId="2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0" fillId="2" borderId="11" xfId="0" applyNumberFormat="1" applyFont="1" applyFill="1" applyBorder="1" applyAlignment="1" applyProtection="1">
      <alignment horizontal="center"/>
      <protection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3" fillId="4" borderId="2" xfId="0" applyNumberFormat="1" applyFont="1" applyFill="1" applyBorder="1" applyAlignment="1" applyProtection="1">
      <alignment horizontal="center"/>
      <protection/>
    </xf>
    <xf numFmtId="1" fontId="3" fillId="4" borderId="7" xfId="0" applyNumberFormat="1" applyFont="1" applyFill="1" applyBorder="1" applyAlignment="1" applyProtection="1">
      <alignment horizontal="center"/>
      <protection/>
    </xf>
    <xf numFmtId="1" fontId="0" fillId="2" borderId="4" xfId="0" applyNumberFormat="1" applyFont="1" applyFill="1" applyBorder="1" applyAlignment="1" applyProtection="1">
      <alignment horizontal="center"/>
      <protection/>
    </xf>
    <xf numFmtId="1" fontId="0" fillId="2" borderId="2" xfId="0" applyNumberFormat="1" applyFont="1" applyFill="1" applyBorder="1" applyAlignment="1" applyProtection="1">
      <alignment horizontal="center"/>
      <protection/>
    </xf>
    <xf numFmtId="1" fontId="0" fillId="2" borderId="7" xfId="0" applyNumberFormat="1" applyFont="1" applyFill="1" applyBorder="1" applyAlignment="1" applyProtection="1">
      <alignment horizontal="center"/>
      <protection/>
    </xf>
    <xf numFmtId="9" fontId="0" fillId="3" borderId="0" xfId="0" applyNumberFormat="1" applyFont="1" applyFill="1" applyBorder="1" applyAlignment="1" applyProtection="1">
      <alignment/>
      <protection/>
    </xf>
    <xf numFmtId="43" fontId="3" fillId="4" borderId="1" xfId="15" applyFont="1" applyFill="1" applyBorder="1" applyAlignment="1" applyProtection="1">
      <alignment/>
      <protection/>
    </xf>
    <xf numFmtId="167" fontId="0" fillId="0" borderId="0" xfId="0" applyNumberFormat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 applyProtection="1">
      <alignment horizontal="center"/>
      <protection/>
    </xf>
    <xf numFmtId="2" fontId="3" fillId="4" borderId="2" xfId="0" applyNumberFormat="1" applyFont="1" applyFill="1" applyBorder="1" applyAlignment="1" applyProtection="1">
      <alignment horizontal="center"/>
      <protection/>
    </xf>
    <xf numFmtId="1" fontId="3" fillId="2" borderId="4" xfId="0" applyNumberFormat="1" applyFont="1" applyFill="1" applyBorder="1" applyAlignment="1" applyProtection="1">
      <alignment horizontal="center"/>
      <protection/>
    </xf>
    <xf numFmtId="1" fontId="3" fillId="2" borderId="8" xfId="0" applyNumberFormat="1" applyFont="1" applyFill="1" applyBorder="1" applyAlignment="1" applyProtection="1">
      <alignment horizontal="center"/>
      <protection/>
    </xf>
    <xf numFmtId="1" fontId="3" fillId="2" borderId="7" xfId="0" applyNumberFormat="1" applyFont="1" applyFill="1" applyBorder="1" applyAlignment="1" applyProtection="1">
      <alignment horizontal="center"/>
      <protection/>
    </xf>
    <xf numFmtId="9" fontId="3" fillId="2" borderId="8" xfId="0" applyNumberFormat="1" applyFont="1" applyFill="1" applyBorder="1" applyAlignment="1" applyProtection="1">
      <alignment horizontal="center"/>
      <protection/>
    </xf>
    <xf numFmtId="9" fontId="3" fillId="2" borderId="7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3" fontId="3" fillId="2" borderId="1" xfId="0" applyNumberFormat="1" applyFont="1" applyFill="1" applyBorder="1" applyAlignment="1">
      <alignment/>
    </xf>
    <xf numFmtId="167" fontId="0" fillId="2" borderId="5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7" fontId="0" fillId="2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75" zoomScaleNormal="75" workbookViewId="0" topLeftCell="A1">
      <selection activeCell="E107" sqref="E107"/>
    </sheetView>
  </sheetViews>
  <sheetFormatPr defaultColWidth="9.140625" defaultRowHeight="12.75"/>
  <cols>
    <col min="1" max="1" width="13.7109375" style="5" customWidth="1"/>
    <col min="2" max="2" width="16.00390625" style="5" customWidth="1"/>
    <col min="3" max="3" width="13.7109375" style="5" customWidth="1"/>
    <col min="4" max="4" width="19.00390625" style="5" customWidth="1"/>
    <col min="5" max="5" width="15.28125" style="5" customWidth="1"/>
    <col min="6" max="6" width="13.7109375" style="5" customWidth="1"/>
    <col min="7" max="7" width="14.57421875" style="5" customWidth="1"/>
    <col min="8" max="8" width="15.421875" style="5" customWidth="1"/>
    <col min="9" max="9" width="12.7109375" style="5" customWidth="1"/>
    <col min="10" max="10" width="14.28125" style="5" customWidth="1"/>
    <col min="11" max="16384" width="13.7109375" style="5" customWidth="1"/>
  </cols>
  <sheetData>
    <row r="1" spans="1:3" ht="12" customHeight="1">
      <c r="A1" s="3" t="s">
        <v>7</v>
      </c>
      <c r="B1" s="1"/>
      <c r="C1" s="1"/>
    </row>
    <row r="2" spans="1:3" ht="12" customHeight="1">
      <c r="A2" s="3" t="s">
        <v>8</v>
      </c>
      <c r="B2" s="1"/>
      <c r="C2" s="1"/>
    </row>
    <row r="3" spans="1:3" ht="12" customHeight="1">
      <c r="A3" s="3" t="s">
        <v>167</v>
      </c>
      <c r="B3" s="1"/>
      <c r="C3" s="1"/>
    </row>
    <row r="4" spans="1:3" ht="12" customHeight="1">
      <c r="A4" s="3" t="s">
        <v>1</v>
      </c>
      <c r="B4" s="1"/>
      <c r="C4" s="1"/>
    </row>
    <row r="5" spans="1:3" ht="12" customHeight="1">
      <c r="A5" s="3" t="s">
        <v>3</v>
      </c>
      <c r="B5" s="1"/>
      <c r="C5" s="1"/>
    </row>
    <row r="6" ht="12" customHeight="1"/>
    <row r="7" spans="1:10" ht="12" customHeight="1">
      <c r="A7" s="4"/>
      <c r="B7" s="2" t="s">
        <v>21</v>
      </c>
      <c r="H7" s="4"/>
      <c r="I7" s="4"/>
      <c r="J7" s="4"/>
    </row>
    <row r="8" spans="1:10" ht="12" customHeight="1">
      <c r="A8" s="4"/>
      <c r="B8" s="13" t="s">
        <v>156</v>
      </c>
      <c r="C8" s="26">
        <v>80</v>
      </c>
      <c r="D8" s="10" t="s">
        <v>20</v>
      </c>
      <c r="E8" s="20" t="s">
        <v>9</v>
      </c>
      <c r="F8" s="26">
        <v>0</v>
      </c>
      <c r="G8" s="21" t="s">
        <v>2</v>
      </c>
      <c r="H8" s="4"/>
      <c r="I8" s="4"/>
      <c r="J8" s="4"/>
    </row>
    <row r="9" spans="1:10" ht="12" customHeight="1">
      <c r="A9" s="4"/>
      <c r="B9" s="73" t="s">
        <v>192</v>
      </c>
      <c r="C9" s="122">
        <f>(1.1788*$N$16-0.1788)</f>
        <v>1</v>
      </c>
      <c r="D9" s="71" t="s">
        <v>159</v>
      </c>
      <c r="E9" s="71" t="s">
        <v>11</v>
      </c>
      <c r="F9" s="25">
        <f>F11</f>
        <v>58.99999999999994</v>
      </c>
      <c r="G9" s="74" t="s">
        <v>12</v>
      </c>
      <c r="H9" s="4"/>
      <c r="I9" s="4"/>
      <c r="J9" s="4"/>
    </row>
    <row r="10" spans="1:10" ht="12" customHeight="1">
      <c r="A10" s="4"/>
      <c r="B10" s="15" t="s">
        <v>193</v>
      </c>
      <c r="C10" s="83">
        <v>100</v>
      </c>
      <c r="D10" s="11" t="s">
        <v>157</v>
      </c>
      <c r="E10" s="71" t="s">
        <v>10</v>
      </c>
      <c r="F10" s="85">
        <f>145448*(1-N16^(1/4.2561))</f>
        <v>0</v>
      </c>
      <c r="G10" s="74" t="s">
        <v>2</v>
      </c>
      <c r="H10" s="4"/>
      <c r="I10" s="4"/>
      <c r="J10" s="4"/>
    </row>
    <row r="11" spans="1:10" ht="12" customHeight="1">
      <c r="A11" s="4"/>
      <c r="B11" s="73" t="s">
        <v>160</v>
      </c>
      <c r="C11" s="72">
        <f>C8*C10/100</f>
        <v>80</v>
      </c>
      <c r="D11" s="71" t="s">
        <v>17</v>
      </c>
      <c r="E11" s="71" t="s">
        <v>13</v>
      </c>
      <c r="F11" s="72">
        <f>518.67*N14-459.67</f>
        <v>58.99999999999994</v>
      </c>
      <c r="G11" s="74" t="s">
        <v>12</v>
      </c>
      <c r="H11" s="4"/>
      <c r="I11" s="4"/>
      <c r="J11" s="4"/>
    </row>
    <row r="12" spans="1:14" ht="12" customHeight="1">
      <c r="A12" s="4"/>
      <c r="B12" s="15" t="s">
        <v>158</v>
      </c>
      <c r="C12" s="83">
        <v>3300</v>
      </c>
      <c r="D12" s="11" t="s">
        <v>162</v>
      </c>
      <c r="E12" s="71"/>
      <c r="F12" s="71"/>
      <c r="G12" s="74"/>
      <c r="H12" s="4"/>
      <c r="I12" s="4"/>
      <c r="J12" s="4"/>
      <c r="L12" s="5" t="s">
        <v>14</v>
      </c>
      <c r="N12" s="24">
        <f>0.00237689*N16</f>
        <v>0.00237689</v>
      </c>
    </row>
    <row r="13" spans="1:14" ht="12" customHeight="1">
      <c r="A13" s="4"/>
      <c r="B13" s="16" t="s">
        <v>67</v>
      </c>
      <c r="C13" s="28">
        <v>128</v>
      </c>
      <c r="D13" s="12" t="s">
        <v>6</v>
      </c>
      <c r="E13" s="39"/>
      <c r="F13" s="39"/>
      <c r="G13" s="47"/>
      <c r="H13" s="4"/>
      <c r="I13" s="4"/>
      <c r="J13" s="4"/>
      <c r="L13" s="5" t="s">
        <v>16</v>
      </c>
      <c r="N13" s="7">
        <f>N16^0.5</f>
        <v>1</v>
      </c>
    </row>
    <row r="14" spans="1:14" ht="12" customHeight="1">
      <c r="A14" s="4"/>
      <c r="H14" s="4"/>
      <c r="I14" s="4"/>
      <c r="J14" s="4"/>
      <c r="L14" s="5" t="s">
        <v>18</v>
      </c>
      <c r="N14" s="7">
        <f>1-3.5662*F8/518670</f>
        <v>1</v>
      </c>
    </row>
    <row r="15" spans="1:14" ht="12" customHeight="1">
      <c r="A15" s="4"/>
      <c r="B15" s="3" t="s">
        <v>72</v>
      </c>
      <c r="G15" s="4"/>
      <c r="H15" s="4"/>
      <c r="I15" s="4"/>
      <c r="J15" s="4"/>
      <c r="L15" s="5" t="s">
        <v>19</v>
      </c>
      <c r="N15" s="7">
        <f>N14^4.2561</f>
        <v>1</v>
      </c>
    </row>
    <row r="16" spans="1:14" ht="12" customHeight="1">
      <c r="A16" s="4"/>
      <c r="B16" s="5" t="s">
        <v>190</v>
      </c>
      <c r="G16" s="4"/>
      <c r="H16" s="4"/>
      <c r="I16" s="4"/>
      <c r="J16" s="4"/>
      <c r="L16" s="5" t="s">
        <v>15</v>
      </c>
      <c r="N16" s="7">
        <f>N15*(459.67+F11)/(459.67+F9)</f>
        <v>1</v>
      </c>
    </row>
    <row r="17" spans="1:15" ht="12" customHeight="1">
      <c r="A17" s="4"/>
      <c r="B17" s="5" t="s">
        <v>191</v>
      </c>
      <c r="G17" s="4"/>
      <c r="H17" s="4"/>
      <c r="I17" s="4"/>
      <c r="J17" s="4"/>
      <c r="L17" s="5" t="s">
        <v>30</v>
      </c>
      <c r="N17" s="6">
        <f>C13*528/360</f>
        <v>187.73333333333332</v>
      </c>
      <c r="O17" s="5" t="s">
        <v>31</v>
      </c>
    </row>
    <row r="18" spans="1:12" ht="12" customHeight="1">
      <c r="A18" s="4"/>
      <c r="L18" s="5" t="s">
        <v>180</v>
      </c>
    </row>
    <row r="19" spans="1:14" ht="12" customHeight="1">
      <c r="A19" s="4"/>
      <c r="B19" s="3" t="s">
        <v>70</v>
      </c>
      <c r="E19" s="3" t="s">
        <v>71</v>
      </c>
      <c r="H19" s="3" t="s">
        <v>73</v>
      </c>
      <c r="L19" s="5" t="s">
        <v>179</v>
      </c>
      <c r="N19" s="7">
        <f>(0.638*$C$13*$N$16^0.2)/($C$12^0.4*($C$8)^0.2)</f>
        <v>1.330476092367242</v>
      </c>
    </row>
    <row r="20" spans="1:14" ht="12" customHeight="1">
      <c r="A20" s="4"/>
      <c r="B20" s="34" t="s">
        <v>23</v>
      </c>
      <c r="C20" s="35">
        <f>320*12*($C$11/($N$16*$C$12^2*$C$13))^0.25</f>
        <v>59.43527257610054</v>
      </c>
      <c r="D20" s="36" t="s">
        <v>0</v>
      </c>
      <c r="E20" s="34" t="s">
        <v>23</v>
      </c>
      <c r="F20" s="35">
        <f>305*12*($C$11/($N$16*$C$12^2*$C$13))^0.25</f>
        <v>56.64924417409583</v>
      </c>
      <c r="G20" s="36" t="s">
        <v>0</v>
      </c>
      <c r="H20" s="34" t="s">
        <v>23</v>
      </c>
      <c r="I20" s="35">
        <f>285*12*($C$11/($N$16*$C$12^2*$C$13))^0.25</f>
        <v>52.93453963808955</v>
      </c>
      <c r="J20" s="36" t="s">
        <v>0</v>
      </c>
      <c r="N20" s="7"/>
    </row>
    <row r="21" spans="1:15" ht="12" customHeight="1">
      <c r="A21" s="4"/>
      <c r="B21" s="79" t="s">
        <v>24</v>
      </c>
      <c r="C21" s="76">
        <f>C20*C23</f>
        <v>40.96000000000001</v>
      </c>
      <c r="D21" s="80" t="s">
        <v>0</v>
      </c>
      <c r="E21" s="79" t="s">
        <v>24</v>
      </c>
      <c r="F21" s="76">
        <f>F20*F23/(0.945-0.053*F23)</f>
        <v>45.17587744902587</v>
      </c>
      <c r="G21" s="80" t="s">
        <v>0</v>
      </c>
      <c r="H21" s="79" t="s">
        <v>24</v>
      </c>
      <c r="I21" s="76">
        <f>I20*(0.905-(0.819-0.184*I23)^0.5)/0.092</f>
        <v>47.42750047247402</v>
      </c>
      <c r="J21" s="80" t="s">
        <v>0</v>
      </c>
      <c r="L21" s="5" t="s">
        <v>188</v>
      </c>
      <c r="N21" s="134">
        <f>1056*$C$13/($C$12*0.503*$N$19^1.239)</f>
        <v>57.16723627729683</v>
      </c>
      <c r="O21" s="5" t="s">
        <v>0</v>
      </c>
    </row>
    <row r="22" spans="1:15" ht="12" customHeight="1">
      <c r="A22" s="4"/>
      <c r="B22" s="81" t="s">
        <v>26</v>
      </c>
      <c r="C22" s="77">
        <f>-0.8996*C23^4+3.4691*C23^3-5.1274*C23^2+3.5178*C23-0.1405</f>
        <v>0.781161720701085</v>
      </c>
      <c r="D22" s="80"/>
      <c r="E22" s="81" t="s">
        <v>26</v>
      </c>
      <c r="F22" s="77">
        <f>-0.8996*F23^4+3.4691*F23^3-5.1274*F23^2+3.5178*F23-0.1405</f>
        <v>0.7879130041194644</v>
      </c>
      <c r="G22" s="84"/>
      <c r="H22" s="81" t="s">
        <v>26</v>
      </c>
      <c r="I22" s="77">
        <f>-0.3512*I23^2+0.7613*I23+0.425</f>
        <v>0.8038040938386171</v>
      </c>
      <c r="J22" s="80"/>
      <c r="L22" s="5" t="s">
        <v>182</v>
      </c>
      <c r="N22" s="134">
        <f>N21*(1.051*1056*C13/C12/N21+0.101)</f>
        <v>48.82285086400698</v>
      </c>
      <c r="O22" s="5" t="s">
        <v>0</v>
      </c>
    </row>
    <row r="23" spans="1:15" ht="12" customHeight="1">
      <c r="A23" s="4"/>
      <c r="B23" s="73" t="s">
        <v>27</v>
      </c>
      <c r="C23" s="78">
        <f>1056*$C$13/($C$12*C20)</f>
        <v>0.6891530605425438</v>
      </c>
      <c r="D23" s="74"/>
      <c r="E23" s="73" t="s">
        <v>27</v>
      </c>
      <c r="F23" s="78">
        <f>1056*$C$13/($C$12*F20)</f>
        <v>0.7230458340118491</v>
      </c>
      <c r="G23" s="74"/>
      <c r="H23" s="73" t="s">
        <v>27</v>
      </c>
      <c r="I23" s="78">
        <f>1056*$C$13/($C$12*I20)</f>
        <v>0.7737858925389964</v>
      </c>
      <c r="J23" s="74"/>
      <c r="L23" s="5" t="s">
        <v>189</v>
      </c>
      <c r="N23" s="134">
        <f>1056*$C$13/($C$12*0.484*$N$19^1.234)</f>
        <v>59.49628594539609</v>
      </c>
      <c r="O23" s="5" t="s">
        <v>0</v>
      </c>
    </row>
    <row r="24" spans="1:15" ht="12" customHeight="1">
      <c r="A24" s="4"/>
      <c r="B24" s="73" t="s">
        <v>79</v>
      </c>
      <c r="C24" s="72">
        <f>$C$13*(C22/$F$22)^(1/3)</f>
        <v>127.63335871437732</v>
      </c>
      <c r="D24" s="74"/>
      <c r="E24" s="73" t="s">
        <v>79</v>
      </c>
      <c r="F24" s="72">
        <f>$C$13*(F22/$F$22)^(1/3)</f>
        <v>128</v>
      </c>
      <c r="G24" s="74"/>
      <c r="H24" s="73" t="s">
        <v>79</v>
      </c>
      <c r="I24" s="72">
        <f>$C$13*(I22/$F$22)^(1/3)</f>
        <v>128.85480502086418</v>
      </c>
      <c r="J24" s="74"/>
      <c r="L24" s="5" t="s">
        <v>181</v>
      </c>
      <c r="N24" s="6">
        <f>N23*(1056*C13/C12/N23+0.107)</f>
        <v>47.326102596157384</v>
      </c>
      <c r="O24" s="5" t="s">
        <v>0</v>
      </c>
    </row>
    <row r="25" spans="1:10" ht="12" customHeight="1">
      <c r="A25" s="4"/>
      <c r="B25" s="73" t="s">
        <v>155</v>
      </c>
      <c r="C25" s="85">
        <f>6000*(18.7-9.5*C21/C20)*$C$8*12/($C$12*C20)</f>
        <v>356.902363381602</v>
      </c>
      <c r="D25" s="74" t="s">
        <v>78</v>
      </c>
      <c r="E25" s="73" t="s">
        <v>155</v>
      </c>
      <c r="F25" s="85">
        <f>6000*(18.7-9.5*F21/F20)*$C$8*12/($C$12*F20)</f>
        <v>342.75046215846675</v>
      </c>
      <c r="G25" s="74" t="s">
        <v>78</v>
      </c>
      <c r="H25" s="73" t="s">
        <v>155</v>
      </c>
      <c r="I25" s="85">
        <f>6000*(18.7-9.5*I21/I20)*$C$8*12/($C$12*I20)</f>
        <v>335.94831691260606</v>
      </c>
      <c r="J25" s="74" t="s">
        <v>78</v>
      </c>
    </row>
    <row r="26" spans="1:12" ht="12" customHeight="1">
      <c r="A26" s="4"/>
      <c r="B26" s="22" t="s">
        <v>25</v>
      </c>
      <c r="C26" s="82">
        <f>((0.0524*$C$12*C20/12)^2+($C$13*528/360)^2)^0.5</f>
        <v>876.7961209858443</v>
      </c>
      <c r="D26" s="23" t="s">
        <v>22</v>
      </c>
      <c r="E26" s="22" t="s">
        <v>25</v>
      </c>
      <c r="F26" s="82">
        <f>((0.0524*$C$12*F20/12)^2+($C$13*528/360)^2)^0.5</f>
        <v>837.6246039871996</v>
      </c>
      <c r="G26" s="23" t="s">
        <v>22</v>
      </c>
      <c r="H26" s="22" t="s">
        <v>25</v>
      </c>
      <c r="I26" s="82">
        <f>((0.0524*$C$12*I20/12)^2+($C$13*528/360)^2)^0.5</f>
        <v>785.5490938398074</v>
      </c>
      <c r="J26" s="23" t="s">
        <v>22</v>
      </c>
      <c r="L26" s="5" t="s">
        <v>187</v>
      </c>
    </row>
    <row r="27" spans="1:15" ht="12" customHeight="1">
      <c r="A27" s="4"/>
      <c r="L27" s="5" t="s">
        <v>179</v>
      </c>
      <c r="N27" s="7">
        <f>(0.638*$C$13*$N$16^0.2)/($C$12^0.4*($C$8*53/66)^0.2)</f>
        <v>1.3901468764353289</v>
      </c>
      <c r="O27" s="32"/>
    </row>
    <row r="28" spans="1:15" ht="12" customHeight="1">
      <c r="A28" s="4"/>
      <c r="B28" s="3" t="s">
        <v>35</v>
      </c>
      <c r="J28" s="4"/>
      <c r="L28" s="5" t="s">
        <v>185</v>
      </c>
      <c r="N28" s="134">
        <f>1056*$C$13/($C$12*0.43*$N$27^1.5)</f>
        <v>58.116634962955146</v>
      </c>
      <c r="O28" s="5" t="s">
        <v>0</v>
      </c>
    </row>
    <row r="29" spans="1:15" ht="12" customHeight="1">
      <c r="A29" s="9"/>
      <c r="B29" s="3" t="s">
        <v>53</v>
      </c>
      <c r="J29" s="4"/>
      <c r="L29" s="5" t="s">
        <v>182</v>
      </c>
      <c r="N29" s="6">
        <f>$N$28*(1.36*1056*$C$13/$C$12/$N$28-0.18)</f>
        <v>45.244605706668075</v>
      </c>
      <c r="O29" s="5" t="s">
        <v>0</v>
      </c>
    </row>
    <row r="30" spans="1:15" ht="12" customHeight="1">
      <c r="A30" s="9"/>
      <c r="B30" s="3" t="s">
        <v>76</v>
      </c>
      <c r="L30" s="5" t="s">
        <v>186</v>
      </c>
      <c r="N30" s="134">
        <f>1056*C13/(C12*0.51*N27^1.25)</f>
        <v>53.206404472287424</v>
      </c>
      <c r="O30" s="5" t="s">
        <v>0</v>
      </c>
    </row>
    <row r="31" spans="1:15" ht="12.75">
      <c r="A31" s="4"/>
      <c r="L31" s="5" t="s">
        <v>182</v>
      </c>
      <c r="N31" s="6">
        <f>N30*(1.13*1056*C13/C12/N30+0.1)</f>
        <v>51.60544044722874</v>
      </c>
      <c r="O31" s="5" t="s">
        <v>0</v>
      </c>
    </row>
    <row r="32" spans="2:8" ht="12.75">
      <c r="B32" s="13" t="s">
        <v>4</v>
      </c>
      <c r="C32" s="75">
        <v>57</v>
      </c>
      <c r="D32" s="10" t="s">
        <v>0</v>
      </c>
      <c r="E32" s="10"/>
      <c r="F32" s="10"/>
      <c r="G32" s="10"/>
      <c r="H32" s="14"/>
    </row>
    <row r="33" spans="1:8" ht="12.75">
      <c r="A33" s="4"/>
      <c r="B33" s="16" t="s">
        <v>28</v>
      </c>
      <c r="C33" s="19">
        <f>((0.0524*$C$12*C32/12)^2+($C$13*528/360)^2)^0.5</f>
        <v>842.5511743178835</v>
      </c>
      <c r="D33" s="12" t="s">
        <v>154</v>
      </c>
      <c r="E33" s="12"/>
      <c r="F33" s="12"/>
      <c r="G33" s="12"/>
      <c r="H33" s="17"/>
    </row>
    <row r="34" ht="12.75">
      <c r="A34" s="4"/>
    </row>
    <row r="35" spans="1:7" ht="12.75">
      <c r="A35" s="4"/>
      <c r="B35" s="43" t="s">
        <v>197</v>
      </c>
      <c r="C35" s="135">
        <f>C12*C32</f>
        <v>188100</v>
      </c>
      <c r="D35" s="44" t="s">
        <v>198</v>
      </c>
      <c r="E35" s="44"/>
      <c r="F35" s="44"/>
      <c r="G35" s="45"/>
    </row>
    <row r="36" spans="1:7" ht="12.75">
      <c r="A36" s="4"/>
      <c r="B36" s="136"/>
      <c r="C36" s="137"/>
      <c r="D36" s="137" t="s">
        <v>199</v>
      </c>
      <c r="E36" s="137"/>
      <c r="F36" s="137"/>
      <c r="G36" s="138"/>
    </row>
    <row r="37" spans="1:7" ht="12.75">
      <c r="A37" s="4"/>
      <c r="B37" s="136"/>
      <c r="C37" s="137"/>
      <c r="D37" s="137" t="s">
        <v>200</v>
      </c>
      <c r="E37" s="137"/>
      <c r="F37" s="137"/>
      <c r="G37" s="138"/>
    </row>
    <row r="38" spans="1:7" ht="12.75">
      <c r="A38" s="4"/>
      <c r="B38" s="46"/>
      <c r="C38" s="39"/>
      <c r="D38" s="39" t="s">
        <v>201</v>
      </c>
      <c r="E38" s="39"/>
      <c r="F38" s="39"/>
      <c r="G38" s="47"/>
    </row>
    <row r="39" ht="12.75">
      <c r="A39" s="4"/>
    </row>
    <row r="40" ht="12.75">
      <c r="B40" s="3" t="s">
        <v>39</v>
      </c>
    </row>
    <row r="41" spans="2:12" ht="12.75">
      <c r="B41" s="13" t="s">
        <v>32</v>
      </c>
      <c r="C41" s="37">
        <v>0.234</v>
      </c>
      <c r="D41" s="27" t="s">
        <v>38</v>
      </c>
      <c r="E41" s="14"/>
      <c r="G41" s="5" t="s">
        <v>5</v>
      </c>
      <c r="I41" s="7">
        <f>1056*C13/(C12*C32)</f>
        <v>0.7185964912280701</v>
      </c>
      <c r="J41" s="5" t="s">
        <v>33</v>
      </c>
      <c r="K41" s="7">
        <f>I41*(1+C41)</f>
        <v>0.8867480701754386</v>
      </c>
      <c r="L41" s="5" t="s">
        <v>51</v>
      </c>
    </row>
    <row r="42" spans="2:12" ht="12.75">
      <c r="B42" s="18" t="s">
        <v>37</v>
      </c>
      <c r="C42" s="49">
        <f>2*J42*C41*(1+C41)*(1+L42*C41)</f>
        <v>0.3163211669854992</v>
      </c>
      <c r="D42" s="11" t="s">
        <v>194</v>
      </c>
      <c r="E42" s="38">
        <f>0.1018*H42^2-0.2262*H42+0.9996</f>
        <v>0.8949860214973484</v>
      </c>
      <c r="G42" s="5" t="s">
        <v>40</v>
      </c>
      <c r="H42" s="7">
        <f>C42/J42</f>
        <v>0.6563777896861498</v>
      </c>
      <c r="I42" s="5" t="s">
        <v>34</v>
      </c>
      <c r="J42" s="7">
        <f>0.0039*K41^4-0.0602*K41^3+0.3473*K41^2-0.9262*K41+1.0697</f>
        <v>0.481919364055188</v>
      </c>
      <c r="K42" s="5" t="s">
        <v>36</v>
      </c>
      <c r="L42" s="7">
        <f>-0.0019*K41^4-0.0069*K41^3+0.1734*K41^2-0.7005*K41+1.0744</f>
        <v>0.583595300629338</v>
      </c>
    </row>
    <row r="43" spans="2:7" ht="12.75">
      <c r="B43" s="50" t="s">
        <v>29</v>
      </c>
      <c r="C43" s="51">
        <f>550*C11/(N12/2*N17^3*PI()*(C32/24)^2)</f>
        <v>0.31577105186682736</v>
      </c>
      <c r="D43" s="12" t="s">
        <v>195</v>
      </c>
      <c r="E43" s="17"/>
      <c r="G43" s="8">
        <f>C43-C42</f>
        <v>-0.0005501151186718678</v>
      </c>
    </row>
    <row r="45" spans="2:7" ht="12.75">
      <c r="B45" s="43" t="s">
        <v>41</v>
      </c>
      <c r="C45" s="44"/>
      <c r="D45" s="123">
        <v>0.5</v>
      </c>
      <c r="E45" s="44" t="s">
        <v>166</v>
      </c>
      <c r="F45" s="44"/>
      <c r="G45" s="45"/>
    </row>
    <row r="46" spans="2:7" ht="12.75">
      <c r="B46" s="46" t="s">
        <v>65</v>
      </c>
      <c r="C46" s="39"/>
      <c r="D46" s="19">
        <f>0.75*PI()*C32*TAN((I62+I61)/2/57.3)</f>
        <v>46.33493071440733</v>
      </c>
      <c r="E46" s="39" t="s">
        <v>66</v>
      </c>
      <c r="F46" s="39"/>
      <c r="G46" s="47"/>
    </row>
    <row r="48" ht="12.75">
      <c r="B48" s="5" t="s">
        <v>173</v>
      </c>
    </row>
    <row r="49" ht="12.75">
      <c r="B49" s="5" t="s">
        <v>174</v>
      </c>
    </row>
    <row r="50" ht="12.75">
      <c r="B50" s="5" t="s">
        <v>69</v>
      </c>
    </row>
    <row r="51" ht="12.75">
      <c r="B51" s="5" t="s">
        <v>74</v>
      </c>
    </row>
    <row r="52" spans="2:10" ht="12.75">
      <c r="B52" s="3" t="s">
        <v>59</v>
      </c>
      <c r="J52" s="32" t="s">
        <v>75</v>
      </c>
    </row>
    <row r="53" spans="2:10" ht="12.75">
      <c r="B53" s="54"/>
      <c r="C53" s="55"/>
      <c r="D53" s="55" t="s">
        <v>54</v>
      </c>
      <c r="E53" s="55" t="s">
        <v>77</v>
      </c>
      <c r="F53" s="56" t="s">
        <v>77</v>
      </c>
      <c r="G53" s="56" t="s">
        <v>60</v>
      </c>
      <c r="H53" s="56" t="s">
        <v>61</v>
      </c>
      <c r="I53" s="57" t="s">
        <v>63</v>
      </c>
      <c r="J53" s="5" t="s">
        <v>161</v>
      </c>
    </row>
    <row r="54" spans="2:16" ht="12.75">
      <c r="B54" s="58" t="s">
        <v>42</v>
      </c>
      <c r="C54" s="42" t="s">
        <v>47</v>
      </c>
      <c r="D54" s="42" t="s">
        <v>55</v>
      </c>
      <c r="E54" s="42" t="s">
        <v>56</v>
      </c>
      <c r="F54" s="42" t="s">
        <v>57</v>
      </c>
      <c r="G54" s="42"/>
      <c r="H54" s="42" t="s">
        <v>183</v>
      </c>
      <c r="I54" s="59" t="s">
        <v>62</v>
      </c>
      <c r="J54" s="30" t="s">
        <v>68</v>
      </c>
      <c r="K54" s="30" t="s">
        <v>43</v>
      </c>
      <c r="L54" s="30" t="s">
        <v>46</v>
      </c>
      <c r="M54" s="30" t="s">
        <v>46</v>
      </c>
      <c r="N54" s="30" t="s">
        <v>45</v>
      </c>
      <c r="O54" s="30" t="s">
        <v>44</v>
      </c>
      <c r="P54" s="30" t="s">
        <v>52</v>
      </c>
    </row>
    <row r="55" spans="2:16" ht="12.75">
      <c r="B55" s="68" t="s">
        <v>64</v>
      </c>
      <c r="C55" s="69" t="s">
        <v>48</v>
      </c>
      <c r="D55" s="69" t="s">
        <v>48</v>
      </c>
      <c r="E55" s="69" t="s">
        <v>48</v>
      </c>
      <c r="F55" s="69" t="s">
        <v>58</v>
      </c>
      <c r="G55" s="69"/>
      <c r="H55" s="69" t="s">
        <v>50</v>
      </c>
      <c r="I55" s="70" t="s">
        <v>50</v>
      </c>
      <c r="J55" s="30"/>
      <c r="K55" s="30"/>
      <c r="L55" s="30" t="s">
        <v>49</v>
      </c>
      <c r="M55" s="30" t="s">
        <v>50</v>
      </c>
      <c r="N55" s="30"/>
      <c r="O55" s="30"/>
      <c r="P55" s="30"/>
    </row>
    <row r="56" spans="2:16" ht="12.75">
      <c r="B56" s="60">
        <v>0.2</v>
      </c>
      <c r="C56" s="41">
        <f aca="true" t="shared" si="0" ref="C56:C64">B56*$C$32/2</f>
        <v>5.7</v>
      </c>
      <c r="D56" s="41">
        <f aca="true" t="shared" si="1" ref="D56:D64">((1+$C$41)/((1+$C$41/2)*(1+$C$41/2*(COS(L56))^2))*2*$C$41*O56*(SIN(L56))^2/COS(L56))*PI()*C56/$D$45</f>
        <v>4.390838869934672</v>
      </c>
      <c r="E56" s="41">
        <f aca="true" t="shared" si="2" ref="E56:E64">(-0.1873*B56^2+0.1681*B56+0.0454)*$C$32</f>
        <v>4.077096</v>
      </c>
      <c r="F56" s="48">
        <f>-2.6337*B56^5+11.687*B56^4-19.457*B56^3+15.581*B56^2-6.2509*B56+1.167</f>
        <v>0.40226041600000007</v>
      </c>
      <c r="G56" s="48">
        <f>G57</f>
        <v>0.072334996105408</v>
      </c>
      <c r="H56" s="40">
        <f>H57</f>
        <v>-8.846410339968003</v>
      </c>
      <c r="I56" s="61">
        <f aca="true" t="shared" si="3" ref="I56:I64">$D$45/G56+H56+M56</f>
        <v>33.90387016762295</v>
      </c>
      <c r="J56" s="124">
        <f>-0.9291*B56^4+4.0668*B56^3-6.3173*B56^2+4.2377*B56-0.0606</f>
        <v>0.56529584</v>
      </c>
      <c r="K56" s="29">
        <f aca="true" t="shared" si="4" ref="K56:K64">$I$41*J56/PI()*(1+0.5*$C$41)/B56</f>
        <v>0.7221612589485974</v>
      </c>
      <c r="L56" s="29">
        <f aca="true" t="shared" si="5" ref="L56:L64">ATAN(K56)</f>
        <v>0.6254449739670069</v>
      </c>
      <c r="M56" s="31">
        <f aca="true" t="shared" si="6" ref="M56:M64">57.3*L56</f>
        <v>35.83799700830949</v>
      </c>
      <c r="N56" s="29">
        <f aca="true" t="shared" si="7" ref="N56:N64">J56*$K$41</f>
        <v>0.5012749951982035</v>
      </c>
      <c r="O56" s="33">
        <f>-0.1267*N56^3+0.7*N56^2-1.4083*N56+1.15</f>
        <v>0.6039890932010231</v>
      </c>
      <c r="P56" s="33">
        <f aca="true" t="shared" si="8" ref="P56:P64">D56/$C$32</f>
        <v>0.07703226087604688</v>
      </c>
    </row>
    <row r="57" spans="2:16" ht="12.75">
      <c r="B57" s="60">
        <v>0.3</v>
      </c>
      <c r="C57" s="41">
        <f t="shared" si="0"/>
        <v>8.549999999999999</v>
      </c>
      <c r="D57" s="41">
        <f t="shared" si="1"/>
        <v>5.371011182661794</v>
      </c>
      <c r="E57" s="41">
        <f t="shared" si="2"/>
        <v>4.501460999999999</v>
      </c>
      <c r="F57" s="48">
        <f aca="true" t="shared" si="9" ref="F57:F64">-2.6337*B57^5+11.687*B57^4-19.457*B57^3+15.581*B57^2-6.2509*B57+1.167</f>
        <v>0.2569458090000001</v>
      </c>
      <c r="G57" s="48">
        <f>G58</f>
        <v>0.072334996105408</v>
      </c>
      <c r="H57" s="40">
        <f>H58</f>
        <v>-8.846410339968003</v>
      </c>
      <c r="I57" s="61">
        <f>$D$45/G57+H57+M57</f>
        <v>30.443090474121828</v>
      </c>
      <c r="J57" s="124">
        <f aca="true" t="shared" si="10" ref="J57:J64">-0.9291*B57^4+4.0668*B57^3-6.3173*B57^2+4.2377*B57-0.0606</f>
        <v>0.74443089</v>
      </c>
      <c r="K57" s="29">
        <f t="shared" si="4"/>
        <v>0.6340033078639848</v>
      </c>
      <c r="L57" s="29">
        <f t="shared" si="5"/>
        <v>0.5650474225970049</v>
      </c>
      <c r="M57" s="31">
        <f t="shared" si="6"/>
        <v>32.37721731480838</v>
      </c>
      <c r="N57" s="29">
        <f t="shared" si="7"/>
        <v>0.6601226550864842</v>
      </c>
      <c r="O57" s="33">
        <f>-0.068*N57^3+0.488*N57^2-1.233*N57+1.238</f>
        <v>0.6171599536694352</v>
      </c>
      <c r="P57" s="33">
        <f t="shared" si="8"/>
        <v>0.09422826636248761</v>
      </c>
    </row>
    <row r="58" spans="2:16" ht="12.75">
      <c r="B58" s="60">
        <v>0.4</v>
      </c>
      <c r="C58" s="41">
        <f t="shared" si="0"/>
        <v>11.4</v>
      </c>
      <c r="D58" s="41">
        <f t="shared" si="1"/>
        <v>5.745487241555875</v>
      </c>
      <c r="E58" s="41">
        <f t="shared" si="2"/>
        <v>4.712304</v>
      </c>
      <c r="F58" s="48">
        <f t="shared" si="9"/>
        <v>0.18657011200000007</v>
      </c>
      <c r="G58" s="52">
        <f aca="true" t="shared" si="11" ref="G58:G64">(-36.671*F58^3+12.858*F58^2-1.6186*F58+0.1649)</f>
        <v>0.072334996105408</v>
      </c>
      <c r="H58" s="53">
        <f>-50.089*F58+0.4987</f>
        <v>-8.846410339968003</v>
      </c>
      <c r="I58" s="61">
        <f t="shared" si="3"/>
        <v>26.854631894815412</v>
      </c>
      <c r="J58" s="124">
        <f t="shared" si="10"/>
        <v>0.8602022399999998</v>
      </c>
      <c r="K58" s="29">
        <f t="shared" si="4"/>
        <v>0.5494510030259584</v>
      </c>
      <c r="L58" s="29">
        <f t="shared" si="5"/>
        <v>0.5024216184206276</v>
      </c>
      <c r="M58" s="31">
        <f t="shared" si="6"/>
        <v>28.78875873550196</v>
      </c>
      <c r="N58" s="29">
        <f t="shared" si="7"/>
        <v>0.7627826762805893</v>
      </c>
      <c r="O58" s="33">
        <f>-0.004*N58^3+0.222*N58^2-0.926*N58+1.218</f>
        <v>0.6390558850672688</v>
      </c>
      <c r="P58" s="33">
        <f t="shared" si="8"/>
        <v>0.10079802178168201</v>
      </c>
    </row>
    <row r="59" spans="2:16" ht="12.75">
      <c r="B59" s="60">
        <v>0.5</v>
      </c>
      <c r="C59" s="41">
        <f t="shared" si="0"/>
        <v>14.25</v>
      </c>
      <c r="D59" s="41">
        <f t="shared" si="1"/>
        <v>5.5282409274127025</v>
      </c>
      <c r="E59" s="41">
        <f t="shared" si="2"/>
        <v>4.709625</v>
      </c>
      <c r="F59" s="48">
        <f t="shared" si="9"/>
        <v>0.1528093749999997</v>
      </c>
      <c r="G59" s="52">
        <f t="shared" si="11"/>
        <v>0.08695640557231729</v>
      </c>
      <c r="H59" s="53">
        <f aca="true" t="shared" si="12" ref="H59:H64">-50.089*F59+0.4987</f>
        <v>-7.155368784374984</v>
      </c>
      <c r="I59" s="61">
        <f t="shared" si="3"/>
        <v>23.99588972730509</v>
      </c>
      <c r="J59" s="124">
        <f t="shared" si="10"/>
        <v>0.92920625</v>
      </c>
      <c r="K59" s="29">
        <f t="shared" si="4"/>
        <v>0.47482164759811796</v>
      </c>
      <c r="L59" s="29">
        <f t="shared" si="5"/>
        <v>0.4433028068087137</v>
      </c>
      <c r="M59" s="31">
        <f t="shared" si="6"/>
        <v>25.401250830139293</v>
      </c>
      <c r="N59" s="29">
        <f t="shared" si="7"/>
        <v>0.8239718489824561</v>
      </c>
      <c r="O59" s="33">
        <f>0.0133*N59^3+0.14*N59^2-0.8133*N59+1.21</f>
        <v>0.6423541114927774</v>
      </c>
      <c r="P59" s="33">
        <f t="shared" si="8"/>
        <v>0.09698668293706496</v>
      </c>
    </row>
    <row r="60" spans="2:16" ht="12.75">
      <c r="B60" s="60">
        <v>0.6</v>
      </c>
      <c r="C60" s="41">
        <f t="shared" si="0"/>
        <v>17.099999999999998</v>
      </c>
      <c r="D60" s="41">
        <f t="shared" si="1"/>
        <v>5.002874006100336</v>
      </c>
      <c r="E60" s="41">
        <f t="shared" si="2"/>
        <v>4.493423999999999</v>
      </c>
      <c r="F60" s="48">
        <f t="shared" si="9"/>
        <v>0.1327466879999999</v>
      </c>
      <c r="G60" s="52">
        <f t="shared" si="11"/>
        <v>0.09083427356965734</v>
      </c>
      <c r="H60" s="53">
        <f t="shared" si="12"/>
        <v>-6.150448855231994</v>
      </c>
      <c r="I60" s="61">
        <f t="shared" si="3"/>
        <v>21.711695753518466</v>
      </c>
      <c r="J60" s="124">
        <f t="shared" si="10"/>
        <v>0.9658094399999999</v>
      </c>
      <c r="K60" s="29">
        <f t="shared" si="4"/>
        <v>0.41127147459333846</v>
      </c>
      <c r="L60" s="29">
        <f t="shared" si="5"/>
        <v>0.39018524313125247</v>
      </c>
      <c r="M60" s="31">
        <f t="shared" si="6"/>
        <v>22.357614431420764</v>
      </c>
      <c r="N60" s="29">
        <f t="shared" si="7"/>
        <v>0.856429657077221</v>
      </c>
      <c r="O60" s="33">
        <f>-0.0067*N60^3+0.21*N60^2-0.8833*N60+1.24</f>
        <v>0.6333360343125278</v>
      </c>
      <c r="P60" s="33">
        <f t="shared" si="8"/>
        <v>0.08776971940526905</v>
      </c>
    </row>
    <row r="61" spans="2:17" ht="12.75">
      <c r="B61" s="60">
        <v>0.7</v>
      </c>
      <c r="C61" s="41">
        <f t="shared" si="0"/>
        <v>19.95</v>
      </c>
      <c r="D61" s="41">
        <f t="shared" si="1"/>
        <v>4.258320233024323</v>
      </c>
      <c r="E61" s="41">
        <f t="shared" si="2"/>
        <v>4.063701000000001</v>
      </c>
      <c r="F61" s="48">
        <f t="shared" si="9"/>
        <v>0.11571174100000037</v>
      </c>
      <c r="G61" s="52">
        <f t="shared" si="11"/>
        <v>0.0929534428240979</v>
      </c>
      <c r="H61" s="53">
        <f t="shared" si="12"/>
        <v>-5.297185394949018</v>
      </c>
      <c r="I61" s="61">
        <f t="shared" si="3"/>
        <v>19.805153487453833</v>
      </c>
      <c r="J61" s="124">
        <f t="shared" si="10"/>
        <v>0.9821484899999999</v>
      </c>
      <c r="K61" s="29">
        <f t="shared" si="4"/>
        <v>0.3584821255528604</v>
      </c>
      <c r="L61" s="29">
        <f t="shared" si="5"/>
        <v>0.34421120368102115</v>
      </c>
      <c r="M61" s="31">
        <f t="shared" si="6"/>
        <v>19.72330197092251</v>
      </c>
      <c r="N61" s="29">
        <f t="shared" si="7"/>
        <v>0.870918278133221</v>
      </c>
      <c r="O61" s="33">
        <f>-0.032*N61^3+0.32*N61^2-1.014*N61+1.261</f>
        <v>0.5994695423278344</v>
      </c>
      <c r="P61" s="33">
        <f t="shared" si="8"/>
        <v>0.07470737250919865</v>
      </c>
      <c r="Q61" s="33"/>
    </row>
    <row r="62" spans="2:16" ht="12.75">
      <c r="B62" s="60">
        <v>0.8</v>
      </c>
      <c r="C62" s="41">
        <f t="shared" si="0"/>
        <v>22.8</v>
      </c>
      <c r="D62" s="41">
        <f t="shared" si="1"/>
        <v>3.38232245374273</v>
      </c>
      <c r="E62" s="41">
        <f t="shared" si="2"/>
        <v>3.4204559999999997</v>
      </c>
      <c r="F62" s="48">
        <f t="shared" si="9"/>
        <v>0.10012038399999956</v>
      </c>
      <c r="G62" s="52">
        <f t="shared" si="11"/>
        <v>0.09493131474596955</v>
      </c>
      <c r="H62" s="53">
        <f t="shared" si="12"/>
        <v>-4.516229914175978</v>
      </c>
      <c r="I62" s="61">
        <f t="shared" si="3"/>
        <v>18.266798564466875</v>
      </c>
      <c r="J62" s="124">
        <f t="shared" si="10"/>
        <v>0.9881302399999989</v>
      </c>
      <c r="K62" s="29">
        <f t="shared" si="4"/>
        <v>0.3155822702160602</v>
      </c>
      <c r="L62" s="29">
        <f t="shared" si="5"/>
        <v>0.30569044595913103</v>
      </c>
      <c r="M62" s="31">
        <f t="shared" si="6"/>
        <v>17.51606255345821</v>
      </c>
      <c r="N62" s="29">
        <f t="shared" si="7"/>
        <v>0.876222583401992</v>
      </c>
      <c r="O62" s="33">
        <f>-0.0667*N62^3+0.45*N62^2-1.1283*N62+1.22</f>
        <v>0.5319814136192522</v>
      </c>
      <c r="P62" s="33">
        <f t="shared" si="8"/>
        <v>0.059338990416539124</v>
      </c>
    </row>
    <row r="63" spans="2:16" ht="12.75">
      <c r="B63" s="60">
        <v>0.9</v>
      </c>
      <c r="C63" s="41">
        <f t="shared" si="0"/>
        <v>25.650000000000002</v>
      </c>
      <c r="D63" s="41">
        <f t="shared" si="1"/>
        <v>2.338193981250926</v>
      </c>
      <c r="E63" s="41">
        <f t="shared" si="2"/>
        <v>2.5636889999999997</v>
      </c>
      <c r="F63" s="48">
        <f t="shared" si="9"/>
        <v>0.09031418699999905</v>
      </c>
      <c r="G63" s="52">
        <f t="shared" si="11"/>
        <v>0.09658158192280909</v>
      </c>
      <c r="H63" s="53">
        <f t="shared" si="12"/>
        <v>-4.025047312642951</v>
      </c>
      <c r="I63" s="61">
        <f t="shared" si="3"/>
        <v>16.872593069912725</v>
      </c>
      <c r="J63" s="124">
        <f t="shared" si="10"/>
        <v>0.9914316899999998</v>
      </c>
      <c r="K63" s="29">
        <f t="shared" si="4"/>
        <v>0.2814548130770432</v>
      </c>
      <c r="L63" s="29">
        <f t="shared" si="5"/>
        <v>0.27435724061596584</v>
      </c>
      <c r="M63" s="31">
        <f t="shared" si="6"/>
        <v>15.720669887294841</v>
      </c>
      <c r="N63" s="29">
        <f t="shared" si="7"/>
        <v>0.8791501378182734</v>
      </c>
      <c r="O63" s="33">
        <f>-0.0827*N63^3+0.474*N63^2-1.0263*N63+1</f>
        <v>0.40789055770967153</v>
      </c>
      <c r="P63" s="33">
        <f t="shared" si="8"/>
        <v>0.04102094703948993</v>
      </c>
    </row>
    <row r="64" spans="2:16" ht="12.75">
      <c r="B64" s="62">
        <v>0.95</v>
      </c>
      <c r="C64" s="63">
        <f t="shared" si="0"/>
        <v>27.075</v>
      </c>
      <c r="D64" s="63">
        <f t="shared" si="1"/>
        <v>1.6452452986728279</v>
      </c>
      <c r="E64" s="63">
        <f t="shared" si="2"/>
        <v>2.0552347500000003</v>
      </c>
      <c r="F64" s="64">
        <f t="shared" si="9"/>
        <v>0.0897798136562502</v>
      </c>
      <c r="G64" s="65">
        <f t="shared" si="11"/>
        <v>0.09668577949704292</v>
      </c>
      <c r="H64" s="66">
        <f t="shared" si="12"/>
        <v>-3.9982810862279163</v>
      </c>
      <c r="I64" s="67">
        <f t="shared" si="3"/>
        <v>16.139303278938314</v>
      </c>
      <c r="J64" s="124">
        <f t="shared" si="10"/>
        <v>0.9938666431249992</v>
      </c>
      <c r="K64" s="29">
        <f t="shared" si="4"/>
        <v>0.2672962723101871</v>
      </c>
      <c r="L64" s="29">
        <f t="shared" si="5"/>
        <v>0.261190105655234</v>
      </c>
      <c r="M64" s="31">
        <f t="shared" si="6"/>
        <v>14.966193054044906</v>
      </c>
      <c r="N64" s="29">
        <f t="shared" si="7"/>
        <v>0.8813093278028343</v>
      </c>
      <c r="O64" s="33">
        <f>-0.0587*N64^3+0.348*N64^2-0.7733*N64+0.752</f>
        <v>0.3005960028516955</v>
      </c>
      <c r="P64" s="33">
        <f t="shared" si="8"/>
        <v>0.028863952608295225</v>
      </c>
    </row>
    <row r="65" ht="12.75">
      <c r="B65" s="5" t="s">
        <v>184</v>
      </c>
    </row>
    <row r="67" ht="12.75">
      <c r="B67" s="3" t="s">
        <v>178</v>
      </c>
    </row>
    <row r="68" ht="12.75">
      <c r="B68" s="3" t="s">
        <v>147</v>
      </c>
    </row>
    <row r="69" spans="2:7" ht="12.75">
      <c r="B69" s="94" t="s">
        <v>95</v>
      </c>
      <c r="C69" s="95">
        <f>C32</f>
        <v>57</v>
      </c>
      <c r="D69" s="96" t="s">
        <v>0</v>
      </c>
      <c r="E69" s="96" t="s">
        <v>91</v>
      </c>
      <c r="F69" s="97">
        <f>0.6*C70</f>
        <v>76.8</v>
      </c>
      <c r="G69" s="98" t="s">
        <v>6</v>
      </c>
    </row>
    <row r="70" spans="2:13" ht="12.75">
      <c r="B70" s="99" t="s">
        <v>89</v>
      </c>
      <c r="C70" s="87">
        <f>C13</f>
        <v>128</v>
      </c>
      <c r="D70" s="92" t="s">
        <v>6</v>
      </c>
      <c r="E70" s="92" t="s">
        <v>176</v>
      </c>
      <c r="F70" s="87">
        <f>F69</f>
        <v>76.8</v>
      </c>
      <c r="G70" s="100" t="s">
        <v>6</v>
      </c>
      <c r="I70" s="5" t="s">
        <v>94</v>
      </c>
      <c r="J70" s="7">
        <f>1056*F70/(C73*C69)</f>
        <v>0.49102124026498845</v>
      </c>
      <c r="K70" s="5" t="s">
        <v>98</v>
      </c>
      <c r="L70" s="6">
        <f>(J72*C8*375/F70)/2</f>
        <v>121.91701054131995</v>
      </c>
      <c r="M70" s="5" t="s">
        <v>97</v>
      </c>
    </row>
    <row r="71" spans="2:13" ht="12.75">
      <c r="B71" s="99" t="s">
        <v>90</v>
      </c>
      <c r="C71" s="87">
        <f>C12</f>
        <v>3300</v>
      </c>
      <c r="D71" s="41"/>
      <c r="E71" s="92" t="s">
        <v>177</v>
      </c>
      <c r="F71" s="93">
        <f>2*L70</f>
        <v>243.8340210826399</v>
      </c>
      <c r="G71" s="100" t="s">
        <v>97</v>
      </c>
      <c r="I71" s="5" t="s">
        <v>96</v>
      </c>
      <c r="J71" s="7">
        <f>-0.8996*I41^4+3.4691*I41^3-5.1274*I41^2+3.5178*I41-0.1405</f>
        <v>0.7870868104979964</v>
      </c>
      <c r="K71" s="5" t="s">
        <v>100</v>
      </c>
      <c r="L71" s="89">
        <f>4*L70/C69</f>
        <v>8.555579687110173</v>
      </c>
      <c r="M71" s="5" t="s">
        <v>101</v>
      </c>
    </row>
    <row r="72" spans="2:10" ht="12.75">
      <c r="B72" s="99" t="s">
        <v>93</v>
      </c>
      <c r="C72" s="93">
        <f>(0.2679*(F70/C70)^2-0.1296*F70/C70+0.8594)*C71</f>
        <v>2897.6772</v>
      </c>
      <c r="D72" s="41"/>
      <c r="E72" s="41"/>
      <c r="F72" s="41"/>
      <c r="G72" s="101"/>
      <c r="I72" s="5" t="s">
        <v>99</v>
      </c>
      <c r="J72" s="7">
        <f>J71*(-2.25*(J70/I41)^4+4.83*(J70/I41)^3-4.09*(J70/I41)^2+2.68*(J70/I41)-0.179)</f>
        <v>0.624215093971558</v>
      </c>
    </row>
    <row r="73" spans="2:7" ht="12.75">
      <c r="B73" s="102" t="s">
        <v>92</v>
      </c>
      <c r="C73" s="103">
        <f>C72</f>
        <v>2897.6772</v>
      </c>
      <c r="D73" s="63" t="s">
        <v>126</v>
      </c>
      <c r="E73" s="69">
        <f>2*PI()*C73/60</f>
        <v>303.44404679982136</v>
      </c>
      <c r="F73" s="63" t="s">
        <v>127</v>
      </c>
      <c r="G73" s="104"/>
    </row>
    <row r="75" spans="2:7" ht="12.75">
      <c r="B75" s="5" t="s">
        <v>125</v>
      </c>
      <c r="G75" s="5" t="s">
        <v>122</v>
      </c>
    </row>
    <row r="76" spans="2:12" ht="12.75">
      <c r="B76" s="109"/>
      <c r="C76" s="106" t="s">
        <v>117</v>
      </c>
      <c r="D76" s="106" t="s">
        <v>153</v>
      </c>
      <c r="E76" s="107" t="s">
        <v>120</v>
      </c>
      <c r="G76" s="94" t="s">
        <v>80</v>
      </c>
      <c r="H76" s="112">
        <v>0.738</v>
      </c>
      <c r="I76" s="96" t="s">
        <v>82</v>
      </c>
      <c r="J76" s="96"/>
      <c r="K76" s="96"/>
      <c r="L76" s="98"/>
    </row>
    <row r="77" spans="2:12" ht="12.75">
      <c r="B77" s="110"/>
      <c r="C77" s="63" t="s">
        <v>118</v>
      </c>
      <c r="D77" s="63" t="s">
        <v>119</v>
      </c>
      <c r="E77" s="104" t="s">
        <v>119</v>
      </c>
      <c r="G77" s="99" t="s">
        <v>81</v>
      </c>
      <c r="H77" s="91">
        <v>0.0472</v>
      </c>
      <c r="I77" s="92" t="s">
        <v>83</v>
      </c>
      <c r="J77" s="92"/>
      <c r="K77" s="92"/>
      <c r="L77" s="100"/>
    </row>
    <row r="78" spans="2:12" ht="12.75">
      <c r="B78" s="111" t="s">
        <v>121</v>
      </c>
      <c r="C78" s="48">
        <f>34/1728</f>
        <v>0.019675925925925927</v>
      </c>
      <c r="D78" s="105">
        <v>8800</v>
      </c>
      <c r="E78" s="108">
        <v>1260000</v>
      </c>
      <c r="G78" s="99" t="s">
        <v>84</v>
      </c>
      <c r="H78" s="86">
        <v>0.421</v>
      </c>
      <c r="I78" s="92" t="s">
        <v>175</v>
      </c>
      <c r="J78" s="92"/>
      <c r="K78" s="92"/>
      <c r="L78" s="100"/>
    </row>
    <row r="79" spans="2:12" ht="12.75">
      <c r="B79" s="111" t="s">
        <v>171</v>
      </c>
      <c r="C79" s="48">
        <f>39/1728</f>
        <v>0.022569444444444444</v>
      </c>
      <c r="D79" s="105">
        <v>10200</v>
      </c>
      <c r="E79" s="108">
        <v>1490000</v>
      </c>
      <c r="G79" s="102" t="s">
        <v>85</v>
      </c>
      <c r="H79" s="103">
        <v>1</v>
      </c>
      <c r="I79" s="113" t="s">
        <v>86</v>
      </c>
      <c r="J79" s="113"/>
      <c r="K79" s="113"/>
      <c r="L79" s="114"/>
    </row>
    <row r="80" spans="2:5" ht="12.75">
      <c r="B80" s="111" t="s">
        <v>196</v>
      </c>
      <c r="C80" s="48">
        <v>0.026</v>
      </c>
      <c r="D80" s="105">
        <v>7800</v>
      </c>
      <c r="E80" s="108">
        <v>1490000</v>
      </c>
    </row>
    <row r="81" spans="2:5" ht="12.75">
      <c r="B81" s="110" t="s">
        <v>116</v>
      </c>
      <c r="C81" s="64">
        <f>38/1728</f>
        <v>0.02199074074074074</v>
      </c>
      <c r="D81" s="69">
        <v>6200</v>
      </c>
      <c r="E81" s="70">
        <v>1350000</v>
      </c>
    </row>
    <row r="82" spans="2:5" ht="12.75">
      <c r="B82" s="115" t="s">
        <v>123</v>
      </c>
      <c r="C82" s="48"/>
      <c r="D82" s="105"/>
      <c r="E82" s="108"/>
    </row>
    <row r="83" spans="2:5" ht="12.75">
      <c r="B83" s="116" t="s">
        <v>124</v>
      </c>
      <c r="C83" s="65">
        <v>0.02</v>
      </c>
      <c r="D83" s="117">
        <v>8800</v>
      </c>
      <c r="E83" s="118">
        <v>1260000</v>
      </c>
    </row>
    <row r="85" ht="12.75">
      <c r="B85" s="5" t="s">
        <v>172</v>
      </c>
    </row>
    <row r="86" spans="2:15" ht="12.75">
      <c r="B86" s="54"/>
      <c r="C86" s="55"/>
      <c r="D86" s="55"/>
      <c r="E86" s="56" t="s">
        <v>77</v>
      </c>
      <c r="F86" s="55" t="s">
        <v>164</v>
      </c>
      <c r="G86" s="55" t="s">
        <v>165</v>
      </c>
      <c r="H86" s="55" t="s">
        <v>163</v>
      </c>
      <c r="I86" s="55" t="s">
        <v>108</v>
      </c>
      <c r="J86" s="119" t="s">
        <v>111</v>
      </c>
      <c r="K86" s="30" t="s">
        <v>114</v>
      </c>
      <c r="L86" s="30" t="s">
        <v>128</v>
      </c>
      <c r="M86" s="30" t="s">
        <v>131</v>
      </c>
      <c r="N86" s="30" t="s">
        <v>107</v>
      </c>
      <c r="O86" s="30"/>
    </row>
    <row r="87" spans="2:15" ht="12.75">
      <c r="B87" s="58" t="s">
        <v>42</v>
      </c>
      <c r="C87" s="42" t="s">
        <v>47</v>
      </c>
      <c r="D87" s="42" t="s">
        <v>87</v>
      </c>
      <c r="E87" s="42" t="s">
        <v>57</v>
      </c>
      <c r="F87" s="42" t="s">
        <v>58</v>
      </c>
      <c r="G87" s="42" t="s">
        <v>58</v>
      </c>
      <c r="H87" s="42" t="s">
        <v>88</v>
      </c>
      <c r="I87" s="42" t="s">
        <v>109</v>
      </c>
      <c r="J87" s="59" t="s">
        <v>112</v>
      </c>
      <c r="K87" s="30" t="s">
        <v>115</v>
      </c>
      <c r="L87" s="30" t="s">
        <v>129</v>
      </c>
      <c r="M87" s="30" t="s">
        <v>132</v>
      </c>
      <c r="N87" s="30" t="s">
        <v>102</v>
      </c>
      <c r="O87" s="30" t="s">
        <v>104</v>
      </c>
    </row>
    <row r="88" spans="2:15" ht="12.75">
      <c r="B88" s="68" t="s">
        <v>64</v>
      </c>
      <c r="C88" s="69" t="s">
        <v>48</v>
      </c>
      <c r="D88" s="69" t="s">
        <v>48</v>
      </c>
      <c r="E88" s="69" t="s">
        <v>58</v>
      </c>
      <c r="F88" s="69"/>
      <c r="G88" s="69"/>
      <c r="H88" s="69" t="s">
        <v>48</v>
      </c>
      <c r="I88" s="120" t="s">
        <v>110</v>
      </c>
      <c r="J88" s="121" t="s">
        <v>113</v>
      </c>
      <c r="K88" s="30" t="s">
        <v>48</v>
      </c>
      <c r="L88" s="30" t="s">
        <v>130</v>
      </c>
      <c r="M88" s="30" t="s">
        <v>105</v>
      </c>
      <c r="N88" s="30" t="s">
        <v>103</v>
      </c>
      <c r="O88" s="30" t="s">
        <v>105</v>
      </c>
    </row>
    <row r="89" spans="2:15" ht="12.75">
      <c r="B89" s="60">
        <f aca="true" t="shared" si="13" ref="B89:C97">B56</f>
        <v>0.2</v>
      </c>
      <c r="C89" s="41">
        <f t="shared" si="13"/>
        <v>5.7</v>
      </c>
      <c r="D89" s="41">
        <f aca="true" t="shared" si="14" ref="D89:D97">IF($H$79=1,D56,E56)</f>
        <v>4.390838869934672</v>
      </c>
      <c r="E89" s="48">
        <f>-2.6337*B89^5+11.687*B89^4-19.457*B89^3+15.581*B89^2-6.2509*B89+1.167</f>
        <v>0.40226041600000007</v>
      </c>
      <c r="F89" s="52">
        <f>E89/2</f>
        <v>0.20113020800000003</v>
      </c>
      <c r="G89" s="52">
        <f>E89-F89</f>
        <v>0.20113020800000003</v>
      </c>
      <c r="H89" s="41">
        <f>D89*(F89+G89)</f>
        <v>1.7662606704088915</v>
      </c>
      <c r="I89" s="41">
        <f>$H$76*D89^2*(F89+G89)</f>
        <v>5.723460112478356</v>
      </c>
      <c r="J89" s="125">
        <f>D89^4*($H$77*(F89^3+G89^3)+0.112*F89*G89*(F89+G89))</f>
        <v>0.9629305554719997</v>
      </c>
      <c r="K89" s="33">
        <f aca="true" t="shared" si="15" ref="K89:K94">D89*($H$78*(F89-G89)+G89)</f>
        <v>0.8831303352044457</v>
      </c>
      <c r="L89" s="90">
        <f aca="true" t="shared" si="16" ref="L89:L97">$C$83/386*I89*$E$73^2*C89</f>
        <v>155.64438234017052</v>
      </c>
      <c r="M89" s="90">
        <f aca="true" t="shared" si="17" ref="M89:M97">M90+(L90+L89)/2*(C90-C89)</f>
        <v>3610.604612979074</v>
      </c>
      <c r="N89" s="29">
        <f aca="true" t="shared" si="18" ref="N89:N94">4*$L$71/$C$69*(C89-$C$89)</f>
        <v>0</v>
      </c>
      <c r="O89" s="90">
        <f aca="true" t="shared" si="19" ref="O89:O97">O90+(N90+N89)/2*(C90-C89)</f>
        <v>121.91701054131995</v>
      </c>
    </row>
    <row r="90" spans="2:15" ht="12.75">
      <c r="B90" s="60">
        <f t="shared" si="13"/>
        <v>0.3</v>
      </c>
      <c r="C90" s="41">
        <f t="shared" si="13"/>
        <v>8.549999999999999</v>
      </c>
      <c r="D90" s="41">
        <f t="shared" si="14"/>
        <v>5.371011182661794</v>
      </c>
      <c r="E90" s="48">
        <f aca="true" t="shared" si="20" ref="E90:E97">-2.6337*B90^5+11.687*B90^4-19.457*B90^3+15.581*B90^2-6.2509*B90+1.167</f>
        <v>0.2569458090000001</v>
      </c>
      <c r="F90" s="52">
        <f aca="true" t="shared" si="21" ref="F90:F98">E90-G90</f>
        <v>0.15638070500000006</v>
      </c>
      <c r="G90" s="52">
        <f>G89/2</f>
        <v>0.10056510400000002</v>
      </c>
      <c r="H90" s="41">
        <f aca="true" t="shared" si="22" ref="H90:H98">D90*(F90+G90)</f>
        <v>1.380058813477082</v>
      </c>
      <c r="I90" s="41">
        <f aca="true" t="shared" si="23" ref="I90:I98">$H$76*D90^2*(F90+G90)</f>
        <v>5.470285754098284</v>
      </c>
      <c r="J90" s="125">
        <f>D90^4*($H$77*(F90^3+G90^3)+0.112*F90*G90*(F90+G90))</f>
        <v>0.5667944806559841</v>
      </c>
      <c r="K90" s="33">
        <f t="shared" si="15"/>
        <v>0.6663462955846399</v>
      </c>
      <c r="L90" s="90">
        <f t="shared" si="16"/>
        <v>223.13929791296704</v>
      </c>
      <c r="M90" s="90">
        <f t="shared" si="17"/>
        <v>3070.8378686183532</v>
      </c>
      <c r="N90" s="29">
        <f t="shared" si="18"/>
        <v>1.7111159374220337</v>
      </c>
      <c r="O90" s="90">
        <f t="shared" si="19"/>
        <v>119.47867033049356</v>
      </c>
    </row>
    <row r="91" spans="2:15" ht="12.75">
      <c r="B91" s="60">
        <f t="shared" si="13"/>
        <v>0.4</v>
      </c>
      <c r="C91" s="41">
        <f t="shared" si="13"/>
        <v>11.4</v>
      </c>
      <c r="D91" s="41">
        <f t="shared" si="14"/>
        <v>5.745487241555875</v>
      </c>
      <c r="E91" s="48">
        <f t="shared" si="20"/>
        <v>0.18657011200000007</v>
      </c>
      <c r="F91" s="52">
        <f t="shared" si="21"/>
        <v>0.18657011200000007</v>
      </c>
      <c r="G91" s="52">
        <v>0</v>
      </c>
      <c r="H91" s="41">
        <f t="shared" si="22"/>
        <v>1.0719361981516509</v>
      </c>
      <c r="I91" s="41">
        <f t="shared" si="23"/>
        <v>4.545191263678759</v>
      </c>
      <c r="J91" s="125">
        <f>D91^4*($H$77*(F91^3+G91^3)+0.112*F91*G91*(F91+G91))</f>
        <v>0.3340224627275001</v>
      </c>
      <c r="K91" s="33">
        <f t="shared" si="15"/>
        <v>0.451285139421845</v>
      </c>
      <c r="L91" s="90">
        <f t="shared" si="16"/>
        <v>247.2048281810734</v>
      </c>
      <c r="M91" s="90">
        <f t="shared" si="17"/>
        <v>2400.597488934345</v>
      </c>
      <c r="N91" s="29">
        <f t="shared" si="18"/>
        <v>3.422231874844069</v>
      </c>
      <c r="O91" s="90">
        <f t="shared" si="19"/>
        <v>112.16364969801435</v>
      </c>
    </row>
    <row r="92" spans="2:15" ht="12.75">
      <c r="B92" s="60">
        <f t="shared" si="13"/>
        <v>0.5</v>
      </c>
      <c r="C92" s="41">
        <f t="shared" si="13"/>
        <v>14.25</v>
      </c>
      <c r="D92" s="41">
        <f t="shared" si="14"/>
        <v>5.5282409274127025</v>
      </c>
      <c r="E92" s="48">
        <f t="shared" si="20"/>
        <v>0.1528093749999997</v>
      </c>
      <c r="F92" s="52">
        <f t="shared" si="21"/>
        <v>0.1528093749999997</v>
      </c>
      <c r="G92" s="52">
        <v>0</v>
      </c>
      <c r="H92" s="41">
        <f t="shared" si="22"/>
        <v>0.8447670409673538</v>
      </c>
      <c r="I92" s="41">
        <f t="shared" si="23"/>
        <v>3.446515888743725</v>
      </c>
      <c r="J92" s="125">
        <f aca="true" t="shared" si="24" ref="J92:J97">D92^4*($H$77*(F92^3+G92^3)+0.112*F92*G92*(F92+G92))</f>
        <v>0.15730402830897186</v>
      </c>
      <c r="K92" s="33">
        <f t="shared" si="15"/>
        <v>0.3556469242472559</v>
      </c>
      <c r="L92" s="90">
        <f t="shared" si="16"/>
        <v>234.31229806230675</v>
      </c>
      <c r="M92" s="90">
        <f t="shared" si="17"/>
        <v>1714.4355840375288</v>
      </c>
      <c r="N92" s="29">
        <f t="shared" si="18"/>
        <v>5.133347812266104</v>
      </c>
      <c r="O92" s="90">
        <f t="shared" si="19"/>
        <v>99.97194864388236</v>
      </c>
    </row>
    <row r="93" spans="2:15" ht="12.75">
      <c r="B93" s="60">
        <f t="shared" si="13"/>
        <v>0.6</v>
      </c>
      <c r="C93" s="41">
        <f t="shared" si="13"/>
        <v>17.099999999999998</v>
      </c>
      <c r="D93" s="41">
        <f t="shared" si="14"/>
        <v>5.002874006100336</v>
      </c>
      <c r="E93" s="48">
        <f t="shared" si="20"/>
        <v>0.1327466879999999</v>
      </c>
      <c r="F93" s="52">
        <f t="shared" si="21"/>
        <v>0.1327466879999999</v>
      </c>
      <c r="G93" s="52">
        <v>0</v>
      </c>
      <c r="H93" s="41">
        <f t="shared" si="22"/>
        <v>0.6641149547911108</v>
      </c>
      <c r="I93" s="41">
        <f t="shared" si="23"/>
        <v>2.4519927819575678</v>
      </c>
      <c r="J93" s="125">
        <f t="shared" si="24"/>
        <v>0.06916579037856349</v>
      </c>
      <c r="K93" s="33">
        <f t="shared" si="15"/>
        <v>0.27959239596705765</v>
      </c>
      <c r="L93" s="90">
        <f t="shared" si="16"/>
        <v>200.03925661242315</v>
      </c>
      <c r="M93" s="90">
        <f t="shared" si="17"/>
        <v>1095.4846186260393</v>
      </c>
      <c r="N93" s="29">
        <f t="shared" si="18"/>
        <v>6.844463749688137</v>
      </c>
      <c r="O93" s="90">
        <f t="shared" si="19"/>
        <v>82.90356716809758</v>
      </c>
    </row>
    <row r="94" spans="2:15" ht="12.75">
      <c r="B94" s="60">
        <f t="shared" si="13"/>
        <v>0.7</v>
      </c>
      <c r="C94" s="41">
        <f t="shared" si="13"/>
        <v>19.95</v>
      </c>
      <c r="D94" s="41">
        <f t="shared" si="14"/>
        <v>4.258320233024323</v>
      </c>
      <c r="E94" s="48">
        <f t="shared" si="20"/>
        <v>0.11571174100000037</v>
      </c>
      <c r="F94" s="52">
        <f t="shared" si="21"/>
        <v>0.11571174100000037</v>
      </c>
      <c r="G94" s="52">
        <v>0</v>
      </c>
      <c r="H94" s="41">
        <f t="shared" si="22"/>
        <v>0.49273764789877167</v>
      </c>
      <c r="I94" s="41">
        <f t="shared" si="23"/>
        <v>1.5484972053676738</v>
      </c>
      <c r="J94" s="125">
        <f t="shared" si="24"/>
        <v>0.0240451535528982</v>
      </c>
      <c r="K94" s="33">
        <f t="shared" si="15"/>
        <v>0.20744254976538284</v>
      </c>
      <c r="L94" s="90">
        <f t="shared" si="16"/>
        <v>147.38499128492896</v>
      </c>
      <c r="M94" s="90">
        <f t="shared" si="17"/>
        <v>600.4050653723123</v>
      </c>
      <c r="N94" s="29">
        <f t="shared" si="18"/>
        <v>8.555579687110173</v>
      </c>
      <c r="O94" s="90">
        <f t="shared" si="19"/>
        <v>60.958505270659984</v>
      </c>
    </row>
    <row r="95" spans="2:15" ht="12.75">
      <c r="B95" s="60">
        <f t="shared" si="13"/>
        <v>0.8</v>
      </c>
      <c r="C95" s="41">
        <f t="shared" si="13"/>
        <v>22.8</v>
      </c>
      <c r="D95" s="41">
        <f t="shared" si="14"/>
        <v>3.38232245374273</v>
      </c>
      <c r="E95" s="48">
        <f t="shared" si="20"/>
        <v>0.10012038399999956</v>
      </c>
      <c r="F95" s="52">
        <f t="shared" si="21"/>
        <v>0.10012038399999956</v>
      </c>
      <c r="G95" s="52">
        <v>0</v>
      </c>
      <c r="H95" s="41">
        <f t="shared" si="22"/>
        <v>0.3386394228805429</v>
      </c>
      <c r="I95" s="41">
        <f t="shared" si="23"/>
        <v>0.8452961401137287</v>
      </c>
      <c r="J95" s="125">
        <f t="shared" si="24"/>
        <v>0.006199683991430237</v>
      </c>
      <c r="K95" s="33">
        <f>D95*($H$78*(F95-G95)+G95)</f>
        <v>0.14256719703270854</v>
      </c>
      <c r="L95" s="90">
        <f t="shared" si="16"/>
        <v>91.94829214285299</v>
      </c>
      <c r="M95" s="90">
        <f t="shared" si="17"/>
        <v>259.3551364877228</v>
      </c>
      <c r="N95" s="29">
        <f>$L$71</f>
        <v>8.555579687110173</v>
      </c>
      <c r="O95" s="90">
        <f t="shared" si="19"/>
        <v>36.57510316239598</v>
      </c>
    </row>
    <row r="96" spans="2:15" ht="12.75">
      <c r="B96" s="60">
        <f t="shared" si="13"/>
        <v>0.9</v>
      </c>
      <c r="C96" s="41">
        <f t="shared" si="13"/>
        <v>25.650000000000002</v>
      </c>
      <c r="D96" s="41">
        <f t="shared" si="14"/>
        <v>2.338193981250926</v>
      </c>
      <c r="E96" s="48">
        <f t="shared" si="20"/>
        <v>0.09031418699999905</v>
      </c>
      <c r="F96" s="52">
        <f t="shared" si="21"/>
        <v>0.09031418699999905</v>
      </c>
      <c r="G96" s="52">
        <v>0</v>
      </c>
      <c r="H96" s="41">
        <f t="shared" si="22"/>
        <v>0.21117208846496838</v>
      </c>
      <c r="I96" s="41">
        <f t="shared" si="23"/>
        <v>0.36439584401764913</v>
      </c>
      <c r="J96" s="125">
        <f t="shared" si="24"/>
        <v>0.0010392788329513095</v>
      </c>
      <c r="K96" s="33">
        <f>D96*($H$78*(F96-G96)+G96)</f>
        <v>0.08890344924375168</v>
      </c>
      <c r="L96" s="90">
        <f t="shared" si="16"/>
        <v>44.592386824902455</v>
      </c>
      <c r="M96" s="90">
        <f t="shared" si="17"/>
        <v>64.78466895867123</v>
      </c>
      <c r="N96" s="29">
        <f>$L$71</f>
        <v>8.555579687110173</v>
      </c>
      <c r="O96" s="90">
        <f t="shared" si="19"/>
        <v>12.191701054131979</v>
      </c>
    </row>
    <row r="97" spans="2:15" ht="12.75">
      <c r="B97" s="60">
        <f t="shared" si="13"/>
        <v>0.95</v>
      </c>
      <c r="C97" s="41">
        <f t="shared" si="13"/>
        <v>27.075</v>
      </c>
      <c r="D97" s="41">
        <f t="shared" si="14"/>
        <v>1.6452452986728279</v>
      </c>
      <c r="E97" s="48">
        <f t="shared" si="20"/>
        <v>0.0897798136562502</v>
      </c>
      <c r="F97" s="52">
        <f t="shared" si="21"/>
        <v>0.0897798136562502</v>
      </c>
      <c r="G97" s="52">
        <v>0</v>
      </c>
      <c r="H97" s="41">
        <f>D97*(F97+G97)</f>
        <v>0.1477098163336682</v>
      </c>
      <c r="I97" s="41">
        <f t="shared" si="23"/>
        <v>0.17934793409740635</v>
      </c>
      <c r="J97" s="125">
        <f t="shared" si="24"/>
        <v>0.0002502653540958517</v>
      </c>
      <c r="K97" s="33">
        <f>D97*($H$78*(F97-G97)+G97)</f>
        <v>0.06218583267647431</v>
      </c>
      <c r="L97" s="90">
        <f t="shared" si="16"/>
        <v>23.166732172581277</v>
      </c>
      <c r="M97" s="90">
        <f t="shared" si="17"/>
        <v>16.50629667296417</v>
      </c>
      <c r="N97" s="29">
        <f>L71/2</f>
        <v>4.2777898435550865</v>
      </c>
      <c r="O97" s="90">
        <f t="shared" si="19"/>
        <v>3.0479252635330005</v>
      </c>
    </row>
    <row r="98" spans="2:15" ht="12.75">
      <c r="B98" s="62">
        <v>1</v>
      </c>
      <c r="C98" s="63">
        <f>C69/2</f>
        <v>28.5</v>
      </c>
      <c r="D98" s="63">
        <v>0</v>
      </c>
      <c r="E98" s="64">
        <f>E97</f>
        <v>0.0897798136562502</v>
      </c>
      <c r="F98" s="65">
        <f t="shared" si="21"/>
        <v>0.0897798136562502</v>
      </c>
      <c r="G98" s="65">
        <v>0</v>
      </c>
      <c r="H98" s="63">
        <f t="shared" si="22"/>
        <v>0</v>
      </c>
      <c r="I98" s="63">
        <f t="shared" si="23"/>
        <v>0</v>
      </c>
      <c r="J98" s="126">
        <f>D98^4*($H$77*(F98^3+G98^3)+0.112*F98*G98*(F98+G98))</f>
        <v>0</v>
      </c>
      <c r="K98" s="33">
        <f>D98*($H$78*(F98-G98)+G98)</f>
        <v>0</v>
      </c>
      <c r="L98" s="90">
        <f>$C$83*I98*$E$73^2*C98/386</f>
        <v>0</v>
      </c>
      <c r="M98" s="90">
        <v>0</v>
      </c>
      <c r="N98" s="29">
        <v>0</v>
      </c>
      <c r="O98" s="90">
        <v>0</v>
      </c>
    </row>
    <row r="100" ht="12.75">
      <c r="B100" s="3" t="s">
        <v>135</v>
      </c>
    </row>
    <row r="101" ht="12.75">
      <c r="B101" s="5" t="s">
        <v>169</v>
      </c>
    </row>
    <row r="102" ht="12.75">
      <c r="B102" s="5" t="s">
        <v>170</v>
      </c>
    </row>
    <row r="103" spans="2:15" ht="12.75">
      <c r="B103" s="54"/>
      <c r="C103" s="55"/>
      <c r="D103" s="55" t="s">
        <v>148</v>
      </c>
      <c r="E103" s="55" t="s">
        <v>111</v>
      </c>
      <c r="F103" s="55" t="s">
        <v>138</v>
      </c>
      <c r="G103" s="55" t="s">
        <v>144</v>
      </c>
      <c r="H103" s="55" t="s">
        <v>133</v>
      </c>
      <c r="I103" s="55" t="s">
        <v>168</v>
      </c>
      <c r="J103" s="129" t="s">
        <v>150</v>
      </c>
      <c r="K103" s="30" t="s">
        <v>139</v>
      </c>
      <c r="L103" s="30" t="s">
        <v>140</v>
      </c>
      <c r="M103" s="30" t="s">
        <v>141</v>
      </c>
      <c r="N103" s="30" t="s">
        <v>142</v>
      </c>
      <c r="O103" s="30" t="s">
        <v>146</v>
      </c>
    </row>
    <row r="104" spans="2:15" ht="12.75">
      <c r="B104" s="58" t="s">
        <v>42</v>
      </c>
      <c r="C104" s="42" t="s">
        <v>47</v>
      </c>
      <c r="D104" s="42" t="s">
        <v>111</v>
      </c>
      <c r="E104" s="42" t="s">
        <v>136</v>
      </c>
      <c r="F104" s="42" t="s">
        <v>111</v>
      </c>
      <c r="G104" s="42" t="s">
        <v>111</v>
      </c>
      <c r="H104" s="42" t="s">
        <v>134</v>
      </c>
      <c r="I104" s="42" t="s">
        <v>149</v>
      </c>
      <c r="J104" s="130" t="s">
        <v>151</v>
      </c>
      <c r="K104" s="30"/>
      <c r="L104" s="30" t="s">
        <v>49</v>
      </c>
      <c r="M104" s="30" t="s">
        <v>48</v>
      </c>
      <c r="N104" s="30" t="s">
        <v>143</v>
      </c>
      <c r="O104" s="30" t="s">
        <v>145</v>
      </c>
    </row>
    <row r="105" spans="2:15" ht="12.75">
      <c r="B105" s="68" t="s">
        <v>64</v>
      </c>
      <c r="C105" s="69" t="s">
        <v>48</v>
      </c>
      <c r="D105" s="120" t="s">
        <v>106</v>
      </c>
      <c r="E105" s="120" t="s">
        <v>137</v>
      </c>
      <c r="F105" s="120" t="s">
        <v>106</v>
      </c>
      <c r="G105" s="120" t="s">
        <v>106</v>
      </c>
      <c r="H105" s="120" t="s">
        <v>119</v>
      </c>
      <c r="I105" s="120" t="s">
        <v>119</v>
      </c>
      <c r="J105" s="131" t="s">
        <v>152</v>
      </c>
      <c r="K105" s="30"/>
      <c r="L105" s="30"/>
      <c r="M105" s="30"/>
      <c r="N105" s="30"/>
      <c r="O105" s="30" t="s">
        <v>106</v>
      </c>
    </row>
    <row r="106" spans="2:15" ht="12.75">
      <c r="B106" s="60">
        <f aca="true" t="shared" si="25" ref="B106:C115">B89</f>
        <v>0.2</v>
      </c>
      <c r="C106" s="41">
        <f t="shared" si="25"/>
        <v>5.7</v>
      </c>
      <c r="D106" s="105">
        <f aca="true" t="shared" si="26" ref="D106:D114">D107+(O90+O89)/2*(C90-C89)</f>
        <v>1663.4814107047223</v>
      </c>
      <c r="E106" s="127">
        <v>0.9</v>
      </c>
      <c r="F106" s="42">
        <f>E106*D106</f>
        <v>1497.1332696342502</v>
      </c>
      <c r="G106" s="42">
        <f aca="true" t="shared" si="27" ref="G106:G115">D106-O106</f>
        <v>1498.435385364194</v>
      </c>
      <c r="H106" s="105">
        <f aca="true" t="shared" si="28" ref="H106:H114">M89/I89</f>
        <v>630.8429764553073</v>
      </c>
      <c r="I106" s="42">
        <f aca="true" t="shared" si="29" ref="I106:I114">1.3*G106*K89/J89+H106</f>
        <v>2417.3766549543816</v>
      </c>
      <c r="J106" s="132">
        <f>$D$83/I106-1</f>
        <v>2.6403098300649654</v>
      </c>
      <c r="K106" s="88">
        <f aca="true" t="shared" si="30" ref="K106:K114">F106/($E$83*J89)</f>
        <v>0.001233942573422452</v>
      </c>
      <c r="L106" s="88">
        <v>0</v>
      </c>
      <c r="M106" s="29">
        <v>0</v>
      </c>
      <c r="N106" s="29">
        <f aca="true" t="shared" si="31" ref="N106:N115">(M106-M105)*L89</f>
        <v>0</v>
      </c>
      <c r="O106" s="90">
        <f aca="true" t="shared" si="32" ref="O106:O114">O107+(N107+N106)/2*(C107-C106)</f>
        <v>165.04602534052833</v>
      </c>
    </row>
    <row r="107" spans="2:15" ht="12.75">
      <c r="B107" s="60">
        <f t="shared" si="25"/>
        <v>0.3</v>
      </c>
      <c r="C107" s="41">
        <f t="shared" si="25"/>
        <v>8.549999999999999</v>
      </c>
      <c r="D107" s="105">
        <f t="shared" si="26"/>
        <v>1319.4925654623883</v>
      </c>
      <c r="E107" s="127">
        <v>0.88</v>
      </c>
      <c r="F107" s="42">
        <f aca="true" t="shared" si="33" ref="F107:F115">E107*D107</f>
        <v>1161.1534576069016</v>
      </c>
      <c r="G107" s="42">
        <f t="shared" si="27"/>
        <v>1156.2930965031778</v>
      </c>
      <c r="H107" s="105">
        <f t="shared" si="28"/>
        <v>561.3669937292968</v>
      </c>
      <c r="I107" s="42">
        <f t="shared" si="29"/>
        <v>2328.5668202788174</v>
      </c>
      <c r="J107" s="132">
        <f aca="true" t="shared" si="34" ref="J107:J114">$D$83/I107-1</f>
        <v>2.779148583310273</v>
      </c>
      <c r="K107" s="88">
        <f t="shared" si="30"/>
        <v>0.001625898618690706</v>
      </c>
      <c r="L107" s="88">
        <f aca="true" t="shared" si="35" ref="L107:L115">L106+(K107+K106)/2*(C107-C106)</f>
        <v>0.004075273698761248</v>
      </c>
      <c r="M107" s="29">
        <f aca="true" t="shared" si="36" ref="M107:M115">M106+(L107+L106)/2*(C107-C106)</f>
        <v>0.0058072650207347766</v>
      </c>
      <c r="N107" s="29">
        <f t="shared" si="31"/>
        <v>1.29582903952129</v>
      </c>
      <c r="O107" s="90">
        <f t="shared" si="32"/>
        <v>163.1994689592105</v>
      </c>
    </row>
    <row r="108" spans="2:15" ht="12.75">
      <c r="B108" s="60">
        <f t="shared" si="25"/>
        <v>0.4</v>
      </c>
      <c r="C108" s="41">
        <f t="shared" si="25"/>
        <v>11.4</v>
      </c>
      <c r="D108" s="105">
        <f t="shared" si="26"/>
        <v>989.4022594217643</v>
      </c>
      <c r="E108" s="127">
        <v>0.84</v>
      </c>
      <c r="F108" s="42">
        <f t="shared" si="33"/>
        <v>831.0978979142819</v>
      </c>
      <c r="G108" s="42">
        <f t="shared" si="27"/>
        <v>834.7163640102873</v>
      </c>
      <c r="H108" s="105">
        <f t="shared" si="28"/>
        <v>528.1620397622969</v>
      </c>
      <c r="I108" s="42">
        <f t="shared" si="29"/>
        <v>1994.2419372768786</v>
      </c>
      <c r="J108" s="132">
        <f t="shared" si="34"/>
        <v>3.4127043141096154</v>
      </c>
      <c r="K108" s="88">
        <f t="shared" si="30"/>
        <v>0.00197472200191305</v>
      </c>
      <c r="L108" s="88">
        <f t="shared" si="35"/>
        <v>0.009206158083121602</v>
      </c>
      <c r="M108" s="29">
        <f t="shared" si="36"/>
        <v>0.02473330530991785</v>
      </c>
      <c r="N108" s="29">
        <f t="shared" si="31"/>
        <v>4.678608537835574</v>
      </c>
      <c r="O108" s="90">
        <f t="shared" si="32"/>
        <v>154.68589541147696</v>
      </c>
    </row>
    <row r="109" spans="2:15" ht="12.75">
      <c r="B109" s="60">
        <f t="shared" si="25"/>
        <v>0.5</v>
      </c>
      <c r="C109" s="41">
        <f t="shared" si="25"/>
        <v>14.25</v>
      </c>
      <c r="D109" s="105">
        <f t="shared" si="26"/>
        <v>687.1090317845616</v>
      </c>
      <c r="E109" s="127">
        <v>0.8</v>
      </c>
      <c r="F109" s="42">
        <f t="shared" si="33"/>
        <v>549.6872254276493</v>
      </c>
      <c r="G109" s="42">
        <f t="shared" si="27"/>
        <v>551.0700104211196</v>
      </c>
      <c r="H109" s="105">
        <f t="shared" si="28"/>
        <v>497.44020900552135</v>
      </c>
      <c r="I109" s="42">
        <f t="shared" si="29"/>
        <v>2117.1206664321494</v>
      </c>
      <c r="J109" s="132">
        <f t="shared" si="34"/>
        <v>3.1565887762222298</v>
      </c>
      <c r="K109" s="88">
        <f t="shared" si="30"/>
        <v>0.0027733536604890264</v>
      </c>
      <c r="L109" s="88">
        <f t="shared" si="35"/>
        <v>0.01597216590204456</v>
      </c>
      <c r="M109" s="29">
        <f t="shared" si="36"/>
        <v>0.06061241698877963</v>
      </c>
      <c r="N109" s="29">
        <f t="shared" si="31"/>
        <v>8.406917109908251</v>
      </c>
      <c r="O109" s="90">
        <f t="shared" si="32"/>
        <v>136.039021363442</v>
      </c>
    </row>
    <row r="110" spans="2:15" ht="12.75">
      <c r="B110" s="60">
        <f t="shared" si="25"/>
        <v>0.6</v>
      </c>
      <c r="C110" s="41">
        <f t="shared" si="25"/>
        <v>17.099999999999998</v>
      </c>
      <c r="D110" s="105">
        <f t="shared" si="26"/>
        <v>426.5114217524904</v>
      </c>
      <c r="E110" s="127">
        <v>0.75</v>
      </c>
      <c r="F110" s="42">
        <f t="shared" si="33"/>
        <v>319.8835663143678</v>
      </c>
      <c r="G110" s="42">
        <f t="shared" si="27"/>
        <v>319.1581903540735</v>
      </c>
      <c r="H110" s="105">
        <f t="shared" si="28"/>
        <v>446.77318248524796</v>
      </c>
      <c r="I110" s="42">
        <f t="shared" si="29"/>
        <v>2123.9674057965535</v>
      </c>
      <c r="J110" s="132">
        <f t="shared" si="34"/>
        <v>3.1431897570479563</v>
      </c>
      <c r="K110" s="88">
        <f t="shared" si="30"/>
        <v>0.0036705406660100543</v>
      </c>
      <c r="L110" s="88">
        <f t="shared" si="35"/>
        <v>0.025154715317305745</v>
      </c>
      <c r="M110" s="29">
        <f t="shared" si="36"/>
        <v>0.11921822272635377</v>
      </c>
      <c r="N110" s="29">
        <f t="shared" si="31"/>
        <v>11.723461812916414</v>
      </c>
      <c r="O110" s="90">
        <f t="shared" si="32"/>
        <v>107.35323139841688</v>
      </c>
    </row>
    <row r="111" spans="2:15" ht="12.75">
      <c r="B111" s="60">
        <f t="shared" si="25"/>
        <v>0.7</v>
      </c>
      <c r="C111" s="41">
        <f t="shared" si="25"/>
        <v>19.95</v>
      </c>
      <c r="D111" s="105">
        <f t="shared" si="26"/>
        <v>221.50796852726074</v>
      </c>
      <c r="E111" s="127">
        <v>0.68</v>
      </c>
      <c r="F111" s="42">
        <f t="shared" si="33"/>
        <v>150.62541859853732</v>
      </c>
      <c r="G111" s="42">
        <f t="shared" si="27"/>
        <v>149.6031728284539</v>
      </c>
      <c r="H111" s="105">
        <f t="shared" si="28"/>
        <v>387.7340322546805</v>
      </c>
      <c r="I111" s="42">
        <f t="shared" si="29"/>
        <v>2065.58909868742</v>
      </c>
      <c r="J111" s="132">
        <f t="shared" si="34"/>
        <v>3.2602858456175845</v>
      </c>
      <c r="K111" s="88">
        <f t="shared" si="30"/>
        <v>0.004971645647914914</v>
      </c>
      <c r="L111" s="88">
        <f t="shared" si="35"/>
        <v>0.03746983081464883</v>
      </c>
      <c r="M111" s="29">
        <f t="shared" si="36"/>
        <v>0.20845820096438908</v>
      </c>
      <c r="N111" s="29">
        <f t="shared" si="31"/>
        <v>13.152633414880084</v>
      </c>
      <c r="O111" s="90">
        <f t="shared" si="32"/>
        <v>71.90479569880685</v>
      </c>
    </row>
    <row r="112" spans="2:15" ht="12.75">
      <c r="B112" s="60">
        <f t="shared" si="25"/>
        <v>0.8</v>
      </c>
      <c r="C112" s="41">
        <f t="shared" si="25"/>
        <v>22.8</v>
      </c>
      <c r="D112" s="105">
        <f t="shared" si="26"/>
        <v>82.52257651015591</v>
      </c>
      <c r="E112" s="127">
        <v>0.56</v>
      </c>
      <c r="F112" s="42">
        <f t="shared" si="33"/>
        <v>46.21264284568732</v>
      </c>
      <c r="G112" s="42">
        <f t="shared" si="27"/>
        <v>46.24925287806731</v>
      </c>
      <c r="H112" s="105">
        <f t="shared" si="28"/>
        <v>306.8216263862608</v>
      </c>
      <c r="I112" s="42">
        <f t="shared" si="29"/>
        <v>1689.4266533257755</v>
      </c>
      <c r="J112" s="132">
        <f t="shared" si="34"/>
        <v>4.2088677437854285</v>
      </c>
      <c r="K112" s="88">
        <f t="shared" si="30"/>
        <v>0.005915898410609035</v>
      </c>
      <c r="L112" s="88">
        <f t="shared" si="35"/>
        <v>0.05298458109804546</v>
      </c>
      <c r="M112" s="29">
        <f t="shared" si="36"/>
        <v>0.33735573793997853</v>
      </c>
      <c r="N112" s="29">
        <f t="shared" si="31"/>
        <v>11.851908386325695</v>
      </c>
      <c r="O112" s="90">
        <f t="shared" si="32"/>
        <v>36.273323632088605</v>
      </c>
    </row>
    <row r="113" spans="2:15" ht="12.75">
      <c r="B113" s="60">
        <f t="shared" si="25"/>
        <v>0.9</v>
      </c>
      <c r="C113" s="41">
        <f t="shared" si="25"/>
        <v>25.650000000000002</v>
      </c>
      <c r="D113" s="105">
        <f t="shared" si="26"/>
        <v>13.029880501603541</v>
      </c>
      <c r="E113" s="127">
        <v>0.33</v>
      </c>
      <c r="F113" s="42">
        <f t="shared" si="33"/>
        <v>4.299860565529169</v>
      </c>
      <c r="G113" s="42">
        <f t="shared" si="27"/>
        <v>4.428130673479933</v>
      </c>
      <c r="H113" s="105">
        <f t="shared" si="28"/>
        <v>177.78651985815034</v>
      </c>
      <c r="I113" s="42">
        <f t="shared" si="29"/>
        <v>670.223103304594</v>
      </c>
      <c r="J113" s="132">
        <f t="shared" si="34"/>
        <v>12.129956213999227</v>
      </c>
      <c r="K113" s="88">
        <f t="shared" si="30"/>
        <v>0.0032836113295303263</v>
      </c>
      <c r="L113" s="88">
        <f t="shared" si="35"/>
        <v>0.06609388247774406</v>
      </c>
      <c r="M113" s="29">
        <f t="shared" si="36"/>
        <v>0.5070425485354787</v>
      </c>
      <c r="N113" s="29">
        <f t="shared" si="31"/>
        <v>7.5667398971585005</v>
      </c>
      <c r="O113" s="90">
        <f t="shared" si="32"/>
        <v>8.601749828123609</v>
      </c>
    </row>
    <row r="114" spans="2:15" ht="12.75">
      <c r="B114" s="60">
        <f t="shared" si="25"/>
        <v>0.95</v>
      </c>
      <c r="C114" s="41">
        <f t="shared" si="25"/>
        <v>27.075</v>
      </c>
      <c r="D114" s="105">
        <f t="shared" si="26"/>
        <v>2.171646750267264</v>
      </c>
      <c r="E114" s="127">
        <v>0.4</v>
      </c>
      <c r="F114" s="42">
        <f t="shared" si="33"/>
        <v>0.8686587001069056</v>
      </c>
      <c r="G114" s="42">
        <f t="shared" si="27"/>
        <v>0.5664229245681678</v>
      </c>
      <c r="H114" s="105">
        <f t="shared" si="28"/>
        <v>92.03505329478382</v>
      </c>
      <c r="I114" s="42">
        <f t="shared" si="29"/>
        <v>275.00295046992426</v>
      </c>
      <c r="J114" s="132">
        <f t="shared" si="34"/>
        <v>30.999656676274146</v>
      </c>
      <c r="K114" s="88">
        <f t="shared" si="30"/>
        <v>0.002754722759137757</v>
      </c>
      <c r="L114" s="88">
        <f t="shared" si="35"/>
        <v>0.07039619551592007</v>
      </c>
      <c r="M114" s="29">
        <f t="shared" si="36"/>
        <v>0.6042917291059642</v>
      </c>
      <c r="N114" s="29">
        <f t="shared" si="31"/>
        <v>2.252945720279432</v>
      </c>
      <c r="O114" s="90">
        <f t="shared" si="32"/>
        <v>1.605223825699096</v>
      </c>
    </row>
    <row r="115" spans="2:15" ht="12.75">
      <c r="B115" s="62">
        <f t="shared" si="25"/>
        <v>1</v>
      </c>
      <c r="C115" s="63">
        <f t="shared" si="25"/>
        <v>28.5</v>
      </c>
      <c r="D115" s="69">
        <v>0</v>
      </c>
      <c r="E115" s="128">
        <v>1</v>
      </c>
      <c r="F115" s="120">
        <f t="shared" si="33"/>
        <v>0</v>
      </c>
      <c r="G115" s="120">
        <f t="shared" si="27"/>
        <v>0</v>
      </c>
      <c r="H115" s="69">
        <v>0</v>
      </c>
      <c r="I115" s="120">
        <v>0</v>
      </c>
      <c r="J115" s="133">
        <v>0</v>
      </c>
      <c r="K115" s="88">
        <v>0</v>
      </c>
      <c r="L115" s="88">
        <f t="shared" si="35"/>
        <v>0.07235893548180572</v>
      </c>
      <c r="M115" s="29">
        <f t="shared" si="36"/>
        <v>0.7060047599418439</v>
      </c>
      <c r="N115" s="29">
        <f t="shared" si="31"/>
        <v>0</v>
      </c>
      <c r="O115" s="90">
        <v>0</v>
      </c>
    </row>
    <row r="118" spans="8:9" ht="12.75">
      <c r="H118" s="90"/>
      <c r="I118" s="90"/>
    </row>
    <row r="119" spans="8:9" ht="12.75">
      <c r="H119" s="90"/>
      <c r="I119" s="90"/>
    </row>
    <row r="120" spans="8:9" ht="12.75">
      <c r="H120" s="90"/>
      <c r="I120" s="90"/>
    </row>
    <row r="121" spans="8:9" ht="12.75">
      <c r="H121" s="90"/>
      <c r="I121" s="90"/>
    </row>
    <row r="122" spans="8:9" ht="12.75">
      <c r="H122" s="90"/>
      <c r="I122" s="90"/>
    </row>
    <row r="123" spans="8:9" ht="12.75">
      <c r="H123" s="90"/>
      <c r="I123" s="90"/>
    </row>
    <row r="124" spans="8:9" ht="12.75">
      <c r="H124" s="90"/>
      <c r="I124" s="90"/>
    </row>
    <row r="125" spans="8:9" ht="12.75">
      <c r="H125" s="90"/>
      <c r="I125" s="90"/>
    </row>
    <row r="126" spans="8:9" ht="12.75">
      <c r="H126" s="90"/>
      <c r="I126" s="90"/>
    </row>
    <row r="127" spans="8:9" ht="12.75">
      <c r="H127" s="90"/>
      <c r="I127" s="9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Willford</dc:creator>
  <cp:keywords/>
  <dc:description/>
  <cp:lastModifiedBy>Neal Willford</cp:lastModifiedBy>
  <cp:lastPrinted>2001-03-13T18:58:57Z</cp:lastPrinted>
  <dcterms:created xsi:type="dcterms:W3CDTF">1999-01-08T14:42:49Z</dcterms:created>
  <dcterms:modified xsi:type="dcterms:W3CDTF">2004-03-27T22:33:18Z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-1677733513</vt:i4>
  </property>
  <property fmtid="{D5CDD505-2E9C-101B-9397-08002B2CF9AE}" pid="4" name="_EmailSubje">
    <vt:lpwstr>Propeller article</vt:lpwstr>
  </property>
  <property fmtid="{D5CDD505-2E9C-101B-9397-08002B2CF9AE}" pid="5" name="_AuthorEma">
    <vt:lpwstr>willford@southwind.net</vt:lpwstr>
  </property>
  <property fmtid="{D5CDD505-2E9C-101B-9397-08002B2CF9AE}" pid="6" name="_AuthorEmailDisplayNa">
    <vt:lpwstr>Willford</vt:lpwstr>
  </property>
</Properties>
</file>