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000" windowHeight="6630" tabRatio="766" activeTab="1"/>
  </bookViews>
  <sheets>
    <sheet name="Flat Gear" sheetId="1" r:id="rId1"/>
    <sheet name="Round Gear" sheetId="2" r:id="rId2"/>
  </sheets>
  <definedNames/>
  <calcPr fullCalcOnLoad="1"/>
</workbook>
</file>

<file path=xl/sharedStrings.xml><?xml version="1.0" encoding="utf-8"?>
<sst xmlns="http://schemas.openxmlformats.org/spreadsheetml/2006/main" count="328" uniqueCount="162">
  <si>
    <t>Landing gear design spreadsheet</t>
  </si>
  <si>
    <t>Landing weight:</t>
  </si>
  <si>
    <t>lbs</t>
  </si>
  <si>
    <t>sq ft</t>
  </si>
  <si>
    <t>Max vertical landing speed =</t>
  </si>
  <si>
    <t>Aft component of gear load, K =</t>
  </si>
  <si>
    <t>Tire outside diameter:</t>
  </si>
  <si>
    <t>Wing area:</t>
  </si>
  <si>
    <t>Tire Geometry</t>
  </si>
  <si>
    <t>inches</t>
  </si>
  <si>
    <t>psi</t>
  </si>
  <si>
    <t>Tire width:</t>
  </si>
  <si>
    <t>Modulus of elasticity, E:</t>
  </si>
  <si>
    <t>Estimated Fo =</t>
  </si>
  <si>
    <t xml:space="preserve">psi </t>
  </si>
  <si>
    <t>Ultimate tensile strength, Ftu:</t>
  </si>
  <si>
    <t>Material density:</t>
  </si>
  <si>
    <t>lbs/in^3</t>
  </si>
  <si>
    <t>Section</t>
  </si>
  <si>
    <t>delta L =</t>
  </si>
  <si>
    <t>I</t>
  </si>
  <si>
    <t>Flat tire diameter:</t>
  </si>
  <si>
    <t>Gear Leg Material Properties</t>
  </si>
  <si>
    <t>in^4</t>
  </si>
  <si>
    <t>deflection</t>
  </si>
  <si>
    <t>This spreadsheet is for educational purposes only and may contain errors.  Any attempt to use the results for actual design purposes are done at the user's own risk.</t>
  </si>
  <si>
    <t>Input required in yellow cells</t>
  </si>
  <si>
    <t>Written by Neal Willford 1/24/04 for Sport Aviation</t>
  </si>
  <si>
    <t>Based on methods presented in "Design of Light Aircraft" by Richard Hiscocks and "The Landing Gear" by Herb Rawdon</t>
  </si>
  <si>
    <t>Tire pressure:</t>
  </si>
  <si>
    <t>Gear Geometry ( see Figure )</t>
  </si>
  <si>
    <t>Gear leg constant thickness:</t>
  </si>
  <si>
    <t>Dist. from leg bend to wheel C/L:</t>
  </si>
  <si>
    <t>Distance between gear supports:</t>
  </si>
  <si>
    <t>Gear width at side of fuselage:</t>
  </si>
  <si>
    <t>Gear width at wheel:</t>
  </si>
  <si>
    <t>Gear leg deflection constant</t>
  </si>
  <si>
    <t>gear width</t>
  </si>
  <si>
    <t>calculation assumes that the gear leg has constant area from end of leg to wheel center line</t>
  </si>
  <si>
    <t>slope</t>
  </si>
  <si>
    <t>Multiplier if drag load in bending =</t>
  </si>
  <si>
    <t>Gear Span:</t>
  </si>
  <si>
    <t>Gear Leg Deflection constant =</t>
  </si>
  <si>
    <t>area</t>
  </si>
  <si>
    <t>sq. in.</t>
  </si>
  <si>
    <t>Tire deflection (inches)</t>
  </si>
  <si>
    <t>Energy absorbed by tires (in-lbs)</t>
  </si>
  <si>
    <t>For flat, constant thickness tapered cantilever spring gear with single or double deflection</t>
  </si>
  <si>
    <t>Deflection of gear normal to leg (inches)</t>
  </si>
  <si>
    <t>Energy absorbed by gear legs (in-lbs)</t>
  </si>
  <si>
    <t>Load normal to gear leg (lbs)</t>
  </si>
  <si>
    <t>Total gear leg deflection (inches)</t>
  </si>
  <si>
    <t>FAR vertical sink speed (ft/sec)</t>
  </si>
  <si>
    <t>Deflection of leg due to center section (inches)</t>
  </si>
  <si>
    <t>Energy due to sink speed (in-lbs)</t>
  </si>
  <si>
    <t>Energy due to gear and tire stroke (in-lbs)</t>
  </si>
  <si>
    <t>Total energy provided by gear (in-lbs)</t>
  </si>
  <si>
    <t>Angle of gear leg from horizon =</t>
  </si>
  <si>
    <t>radians</t>
  </si>
  <si>
    <t>Total limit energy of landing (in-lbs)</t>
  </si>
  <si>
    <t>Gear load factor (ng)</t>
  </si>
  <si>
    <t>Vertical load per wheel (lbs)</t>
  </si>
  <si>
    <t>limit energy slope =</t>
  </si>
  <si>
    <t>M/EI</t>
  </si>
  <si>
    <t>constants for E and load = 1</t>
  </si>
  <si>
    <t>Bending stress at top of gear (psi)</t>
  </si>
  <si>
    <t>limit intercept =</t>
  </si>
  <si>
    <t>gear energy slope =</t>
  </si>
  <si>
    <t>gear energy intercept =</t>
  </si>
  <si>
    <t>Energy</t>
  </si>
  <si>
    <t>in-lbs</t>
  </si>
  <si>
    <t>Energy where req'd limit &amp; gear/tire match =</t>
  </si>
  <si>
    <t>Energy required and available calculations</t>
  </si>
  <si>
    <t xml:space="preserve">Reserve </t>
  </si>
  <si>
    <t xml:space="preserve">Limit </t>
  </si>
  <si>
    <t>Condition</t>
  </si>
  <si>
    <t>Gear drag load not accounted for in the calculations below</t>
  </si>
  <si>
    <t>Background calculations</t>
  </si>
  <si>
    <t xml:space="preserve">Vertical gear load per wheel (lbs) </t>
  </si>
  <si>
    <t xml:space="preserve">Gear load factor (ng) </t>
  </si>
  <si>
    <t>Max allow. bending stress =</t>
  </si>
  <si>
    <t>ft/sec (for limit energy case)</t>
  </si>
  <si>
    <t>ft/sec (for reserve energy case)</t>
  </si>
  <si>
    <t>Maximum Vertical Speed Calculation</t>
  </si>
  <si>
    <t>of fuselage (1, yes 0 no)?</t>
  </si>
  <si>
    <t>One piece gear that is free to deflect at center</t>
  </si>
  <si>
    <t>Max. possible tire deflection =</t>
  </si>
  <si>
    <t>Tire deflection at limit energy condition</t>
  </si>
  <si>
    <t>Tire deflection at limit energy =</t>
  </si>
  <si>
    <t>Landing Gear Capability.  Margin of Safety should be at least 0.50 for Limit Energy Condition.</t>
  </si>
  <si>
    <t>Limit energy drop ht =</t>
  </si>
  <si>
    <t>Drop height (inches)</t>
  </si>
  <si>
    <t xml:space="preserve">Total gear + tire deflection </t>
  </si>
  <si>
    <t>Gear drag load is accounted for in bending</t>
  </si>
  <si>
    <t>Approx gear weight =</t>
  </si>
  <si>
    <t>Gear diameter at side of fuselage:</t>
  </si>
  <si>
    <t>Gear diameter at axle:</t>
  </si>
  <si>
    <t>Leg length in mounting socket:</t>
  </si>
  <si>
    <t>Dia (inches)</t>
  </si>
  <si>
    <t>Local</t>
  </si>
  <si>
    <t>M</t>
  </si>
  <si>
    <t>max Mr/I =</t>
  </si>
  <si>
    <t>Mr/I</t>
  </si>
  <si>
    <t>integrated</t>
  </si>
  <si>
    <t>approximate Fs =</t>
  </si>
  <si>
    <t>limit energy</t>
  </si>
  <si>
    <t>reserve energy</t>
  </si>
  <si>
    <t>Torsion moment on gear leg due to sweep and drag load =</t>
  </si>
  <si>
    <t xml:space="preserve">Combined Margin of Safety </t>
  </si>
  <si>
    <t>Material properties of some materials used for gear legs</t>
  </si>
  <si>
    <t>2024-T3 Aluminum</t>
  </si>
  <si>
    <t>4340, 5160 and 6150 Steel</t>
  </si>
  <si>
    <t>6AL-4V Titanium</t>
  </si>
  <si>
    <t>Ultimate</t>
  </si>
  <si>
    <t>strength</t>
  </si>
  <si>
    <t>Ftu (psi)</t>
  </si>
  <si>
    <t>Modulus</t>
  </si>
  <si>
    <t xml:space="preserve">Elasticity </t>
  </si>
  <si>
    <t>E (psi)</t>
  </si>
  <si>
    <t>Material</t>
  </si>
  <si>
    <t>Density</t>
  </si>
  <si>
    <t>(lbs/in^3)</t>
  </si>
  <si>
    <t>*** Steel Ftu are heat treated values ***</t>
  </si>
  <si>
    <t>ft/sec (for limit energy)</t>
  </si>
  <si>
    <t>ft/sec (for reserve energy)</t>
  </si>
  <si>
    <t>For SOLID, round tapered cantilever spring gear with single deflection</t>
  </si>
  <si>
    <t>Gear height:</t>
  </si>
  <si>
    <t>Gear span:</t>
  </si>
  <si>
    <t>Gear leg true length =</t>
  </si>
  <si>
    <t>Gear drag load per wheel (lbs)</t>
  </si>
  <si>
    <t>Based on methods presented in "Design of Light Aircraft" by Richard Hiscocks, "The Landing Gear" by Herb Rawdon and "Analysis and Design of Flight Vehicle Structures" by Bruhn</t>
  </si>
  <si>
    <t>Top view gear length =</t>
  </si>
  <si>
    <t>Tire + gear vertical deflection (in)</t>
  </si>
  <si>
    <t>Gear side view depth (positive aft):</t>
  </si>
  <si>
    <t>front view gear angle =</t>
  </si>
  <si>
    <t>side view gear angle =</t>
  </si>
  <si>
    <t>Tr/Ip</t>
  </si>
  <si>
    <t>%</t>
  </si>
  <si>
    <t>% of load of on main wheels at gross weight and C.G. while a/c sitting on the ground:</t>
  </si>
  <si>
    <t>Additional gear + tire deflection for reserve energy condition =</t>
  </si>
  <si>
    <t>L.E.</t>
  </si>
  <si>
    <t>R.E.</t>
  </si>
  <si>
    <t>M.S.</t>
  </si>
  <si>
    <t>Min M.S. =</t>
  </si>
  <si>
    <t>limit</t>
  </si>
  <si>
    <t>reserve</t>
  </si>
  <si>
    <t xml:space="preserve">APPROXIMATE Margin of Safety </t>
  </si>
  <si>
    <t>tapered gear slope =</t>
  </si>
  <si>
    <t>inches (parallel to leg)</t>
  </si>
  <si>
    <t>Main wheel tire + gear leg deflection while a/c sitting on the ground =</t>
  </si>
  <si>
    <t>L =</t>
  </si>
  <si>
    <t>a =</t>
  </si>
  <si>
    <t>b =</t>
  </si>
  <si>
    <t>Slope constant due to full span gear ctr section deflection =</t>
  </si>
  <si>
    <t>Slope constant due to part span gear ctr section deflection =</t>
  </si>
  <si>
    <t>between gear support and attach pt:</t>
  </si>
  <si>
    <t xml:space="preserve">For two piece gear (or 1 piece w/center attach pt), distance  </t>
  </si>
  <si>
    <t>Gear Stub Deflection constant =</t>
  </si>
  <si>
    <t>Deflection due to gear stub (inches)</t>
  </si>
  <si>
    <t>Effective weight for drop test (lbs)</t>
  </si>
  <si>
    <t>Limit inertial load factor (n)</t>
  </si>
  <si>
    <t>Reserve energy (in-lbs)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</si>
</sst>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0.00000000000000"/>
    <numFmt numFmtId="172" formatCode="0.0000000000000"/>
    <numFmt numFmtId="173" formatCode="0.000000000000"/>
    <numFmt numFmtId="174" formatCode="0.0000000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167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3" borderId="6" xfId="0" applyFill="1" applyBorder="1" applyAlignment="1">
      <alignment/>
    </xf>
    <xf numFmtId="167" fontId="0" fillId="3" borderId="0" xfId="0" applyNumberFormat="1" applyFill="1" applyBorder="1" applyAlignment="1">
      <alignment/>
    </xf>
    <xf numFmtId="0" fontId="0" fillId="3" borderId="2" xfId="0" applyFill="1" applyBorder="1" applyAlignment="1">
      <alignment/>
    </xf>
    <xf numFmtId="167" fontId="0" fillId="3" borderId="2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/>
    </xf>
    <xf numFmtId="2" fontId="0" fillId="3" borderId="5" xfId="0" applyNumberFormat="1" applyFill="1" applyBorder="1" applyAlignment="1">
      <alignment/>
    </xf>
    <xf numFmtId="167" fontId="1" fillId="3" borderId="5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7" fontId="1" fillId="3" borderId="10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7" fontId="1" fillId="3" borderId="8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/>
    </xf>
    <xf numFmtId="1" fontId="1" fillId="3" borderId="1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1" fillId="3" borderId="5" xfId="0" applyNumberFormat="1" applyFont="1" applyFill="1" applyBorder="1" applyAlignment="1">
      <alignment horizontal="right"/>
    </xf>
    <xf numFmtId="167" fontId="1" fillId="3" borderId="9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142875</xdr:rowOff>
    </xdr:from>
    <xdr:to>
      <xdr:col>8</xdr:col>
      <xdr:colOff>0</xdr:colOff>
      <xdr:row>26</xdr:row>
      <xdr:rowOff>152400</xdr:rowOff>
    </xdr:to>
    <xdr:pic>
      <xdr:nvPicPr>
        <xdr:cNvPr id="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276350"/>
          <a:ext cx="5324475" cy="3086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47625</xdr:rowOff>
    </xdr:from>
    <xdr:to>
      <xdr:col>12</xdr:col>
      <xdr:colOff>28575</xdr:colOff>
      <xdr:row>27</xdr:row>
      <xdr:rowOff>19050</xdr:rowOff>
    </xdr:to>
    <xdr:pic>
      <xdr:nvPicPr>
        <xdr:cNvPr id="1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81100"/>
          <a:ext cx="8305800" cy="3209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zoomScale="75" zoomScaleNormal="75" workbookViewId="0" topLeftCell="A1">
      <selection activeCell="D45" sqref="D45"/>
    </sheetView>
  </sheetViews>
  <sheetFormatPr defaultColWidth="9.140625" defaultRowHeight="12.75"/>
  <cols>
    <col min="1" max="1" width="10.28125" style="1" customWidth="1"/>
    <col min="2" max="2" width="12.7109375" style="1" customWidth="1"/>
    <col min="3" max="3" width="15.7109375" style="1" customWidth="1"/>
    <col min="4" max="4" width="10.57421875" style="1" customWidth="1"/>
    <col min="5" max="5" width="10.28125" style="1" customWidth="1"/>
    <col min="6" max="6" width="9.28125" style="1" customWidth="1"/>
    <col min="7" max="7" width="10.28125" style="1" customWidth="1"/>
    <col min="8" max="8" width="11.421875" style="1" customWidth="1"/>
    <col min="9" max="9" width="11.00390625" style="1" customWidth="1"/>
    <col min="10" max="10" width="11.7109375" style="1" customWidth="1"/>
    <col min="11" max="11" width="11.00390625" style="1" customWidth="1"/>
    <col min="12" max="13" width="10.28125" style="1" customWidth="1"/>
    <col min="14" max="14" width="10.8515625" style="1" customWidth="1"/>
    <col min="15" max="15" width="11.140625" style="1" customWidth="1"/>
    <col min="16" max="16" width="13.7109375" style="1" customWidth="1"/>
    <col min="17" max="17" width="17.28125" style="1" bestFit="1" customWidth="1"/>
    <col min="18" max="16384" width="9.140625" style="1" customWidth="1"/>
  </cols>
  <sheetData>
    <row r="1" ht="12.75">
      <c r="A1" s="3" t="s">
        <v>0</v>
      </c>
    </row>
    <row r="2" ht="12.75">
      <c r="A2" s="9" t="s">
        <v>27</v>
      </c>
    </row>
    <row r="3" ht="12.75">
      <c r="A3" s="9" t="s">
        <v>28</v>
      </c>
    </row>
    <row r="4" ht="12.75">
      <c r="A4" s="3" t="s">
        <v>47</v>
      </c>
    </row>
    <row r="5" ht="12.75">
      <c r="A5" s="16" t="s">
        <v>76</v>
      </c>
    </row>
    <row r="6" ht="12.75">
      <c r="A6" s="9" t="s">
        <v>25</v>
      </c>
    </row>
    <row r="7" ht="12.75">
      <c r="A7" s="9" t="s">
        <v>26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spans="2:9" ht="12.75">
      <c r="B29" s="3" t="s">
        <v>83</v>
      </c>
      <c r="E29" s="3" t="s">
        <v>8</v>
      </c>
      <c r="I29" s="3" t="s">
        <v>109</v>
      </c>
    </row>
    <row r="30" spans="2:13" ht="12.75">
      <c r="B30" s="27" t="s">
        <v>1</v>
      </c>
      <c r="C30" s="28">
        <v>1232</v>
      </c>
      <c r="D30" s="34" t="s">
        <v>2</v>
      </c>
      <c r="E30" s="34" t="s">
        <v>6</v>
      </c>
      <c r="F30" s="34"/>
      <c r="G30" s="28">
        <v>13.6</v>
      </c>
      <c r="H30" s="29" t="s">
        <v>9</v>
      </c>
      <c r="I30" s="27"/>
      <c r="J30" s="34"/>
      <c r="K30" s="62" t="s">
        <v>113</v>
      </c>
      <c r="L30" s="62" t="s">
        <v>116</v>
      </c>
      <c r="M30" s="50" t="s">
        <v>119</v>
      </c>
    </row>
    <row r="31" spans="2:13" ht="12.75">
      <c r="B31" s="36" t="s">
        <v>7</v>
      </c>
      <c r="C31" s="10">
        <v>130.5</v>
      </c>
      <c r="D31" s="26" t="s">
        <v>3</v>
      </c>
      <c r="E31" s="26" t="s">
        <v>21</v>
      </c>
      <c r="F31" s="26"/>
      <c r="G31" s="10">
        <v>8.2</v>
      </c>
      <c r="H31" s="37" t="s">
        <v>9</v>
      </c>
      <c r="I31" s="36"/>
      <c r="J31" s="26"/>
      <c r="K31" s="60" t="s">
        <v>114</v>
      </c>
      <c r="L31" s="60" t="s">
        <v>117</v>
      </c>
      <c r="M31" s="51" t="s">
        <v>120</v>
      </c>
    </row>
    <row r="32" spans="2:13" ht="12.75">
      <c r="B32" s="36"/>
      <c r="C32" s="26"/>
      <c r="D32" s="26"/>
      <c r="E32" s="26" t="s">
        <v>11</v>
      </c>
      <c r="F32" s="26"/>
      <c r="G32" s="10">
        <v>4.9</v>
      </c>
      <c r="H32" s="37" t="s">
        <v>9</v>
      </c>
      <c r="I32" s="30" t="s">
        <v>119</v>
      </c>
      <c r="J32" s="38"/>
      <c r="K32" s="64" t="s">
        <v>115</v>
      </c>
      <c r="L32" s="64" t="s">
        <v>118</v>
      </c>
      <c r="M32" s="53" t="s">
        <v>121</v>
      </c>
    </row>
    <row r="33" spans="2:13" ht="12.75">
      <c r="B33" s="30"/>
      <c r="C33" s="38"/>
      <c r="D33" s="38"/>
      <c r="E33" s="38" t="s">
        <v>29</v>
      </c>
      <c r="F33" s="38"/>
      <c r="G33" s="31">
        <v>36</v>
      </c>
      <c r="H33" s="32" t="s">
        <v>10</v>
      </c>
      <c r="I33" s="36" t="s">
        <v>111</v>
      </c>
      <c r="J33" s="26"/>
      <c r="K33" s="61">
        <v>220000</v>
      </c>
      <c r="L33" s="61">
        <v>29000000</v>
      </c>
      <c r="M33" s="66">
        <v>0.286</v>
      </c>
    </row>
    <row r="34" spans="2:13" ht="12.75">
      <c r="B34" s="3" t="s">
        <v>30</v>
      </c>
      <c r="I34" s="36" t="s">
        <v>110</v>
      </c>
      <c r="J34" s="26"/>
      <c r="K34" s="61">
        <v>70000</v>
      </c>
      <c r="L34" s="61">
        <v>10500000</v>
      </c>
      <c r="M34" s="66">
        <v>0.098</v>
      </c>
    </row>
    <row r="35" spans="2:13" ht="12.75">
      <c r="B35" s="27" t="s">
        <v>41</v>
      </c>
      <c r="C35" s="34"/>
      <c r="D35" s="41">
        <v>24</v>
      </c>
      <c r="E35" s="29" t="s">
        <v>9</v>
      </c>
      <c r="I35" s="30" t="s">
        <v>112</v>
      </c>
      <c r="J35" s="38"/>
      <c r="K35" s="63">
        <v>130000</v>
      </c>
      <c r="L35" s="63">
        <v>16000000</v>
      </c>
      <c r="M35" s="65">
        <v>0.16</v>
      </c>
    </row>
    <row r="36" spans="2:9" ht="12.75">
      <c r="B36" s="36" t="s">
        <v>126</v>
      </c>
      <c r="C36" s="26"/>
      <c r="D36" s="11">
        <v>20</v>
      </c>
      <c r="E36" s="37" t="s">
        <v>9</v>
      </c>
      <c r="I36" s="67" t="s">
        <v>122</v>
      </c>
    </row>
    <row r="37" spans="2:9" ht="12.75">
      <c r="B37" s="36" t="s">
        <v>128</v>
      </c>
      <c r="C37" s="26"/>
      <c r="D37" s="73">
        <f>(D35^2+D36^2)^0.5</f>
        <v>31.240998703626616</v>
      </c>
      <c r="E37" s="37" t="s">
        <v>9</v>
      </c>
      <c r="I37" s="3" t="s">
        <v>22</v>
      </c>
    </row>
    <row r="38" spans="2:12" ht="12.75">
      <c r="B38" s="36" t="s">
        <v>32</v>
      </c>
      <c r="C38" s="26"/>
      <c r="D38" s="11">
        <v>3.5</v>
      </c>
      <c r="E38" s="37" t="s">
        <v>9</v>
      </c>
      <c r="I38" s="27" t="s">
        <v>12</v>
      </c>
      <c r="J38" s="34"/>
      <c r="K38" s="28">
        <v>10500000</v>
      </c>
      <c r="L38" s="29" t="s">
        <v>10</v>
      </c>
    </row>
    <row r="39" spans="2:12" ht="12.75">
      <c r="B39" s="36" t="s">
        <v>85</v>
      </c>
      <c r="C39" s="26"/>
      <c r="D39" s="26"/>
      <c r="E39" s="37"/>
      <c r="I39" s="36"/>
      <c r="J39" s="26"/>
      <c r="K39" s="10"/>
      <c r="L39" s="37"/>
    </row>
    <row r="40" spans="2:12" ht="12.75">
      <c r="B40" s="36" t="s">
        <v>84</v>
      </c>
      <c r="C40" s="26"/>
      <c r="D40" s="76">
        <v>1</v>
      </c>
      <c r="E40" s="37"/>
      <c r="I40" s="36" t="s">
        <v>15</v>
      </c>
      <c r="J40" s="26"/>
      <c r="K40" s="10">
        <v>70000</v>
      </c>
      <c r="L40" s="37" t="s">
        <v>10</v>
      </c>
    </row>
    <row r="41" spans="2:12" ht="12.75">
      <c r="B41" s="36" t="s">
        <v>33</v>
      </c>
      <c r="C41" s="26"/>
      <c r="D41" s="11">
        <v>24</v>
      </c>
      <c r="E41" s="37" t="s">
        <v>9</v>
      </c>
      <c r="I41" s="30" t="s">
        <v>16</v>
      </c>
      <c r="J41" s="38"/>
      <c r="K41" s="31">
        <v>0.098</v>
      </c>
      <c r="L41" s="32" t="s">
        <v>17</v>
      </c>
    </row>
    <row r="42" spans="2:12" ht="12.75">
      <c r="B42" s="36" t="s">
        <v>156</v>
      </c>
      <c r="C42" s="26"/>
      <c r="D42" s="26"/>
      <c r="E42" s="37"/>
      <c r="I42" s="30" t="s">
        <v>94</v>
      </c>
      <c r="J42" s="38"/>
      <c r="K42" s="40">
        <f>IF(D40=1,K41*(AVERAGE(E70:E90)*C70*2+D41*E70),2*K41*(AVERAGE(E70:E90)*C70+D43*E70))</f>
        <v>30.68549114222143</v>
      </c>
      <c r="L42" s="32" t="s">
        <v>2</v>
      </c>
    </row>
    <row r="43" spans="2:5" ht="12.75">
      <c r="B43" s="36" t="s">
        <v>155</v>
      </c>
      <c r="C43" s="26"/>
      <c r="D43" s="11">
        <v>9</v>
      </c>
      <c r="E43" s="37" t="s">
        <v>9</v>
      </c>
    </row>
    <row r="44" spans="2:5" ht="12.75">
      <c r="B44" s="36" t="s">
        <v>31</v>
      </c>
      <c r="C44" s="26"/>
      <c r="D44" s="11">
        <v>1.125</v>
      </c>
      <c r="E44" s="37" t="s">
        <v>9</v>
      </c>
    </row>
    <row r="45" spans="2:5" ht="12.75">
      <c r="B45" s="36" t="s">
        <v>34</v>
      </c>
      <c r="C45" s="26"/>
      <c r="D45" s="11">
        <v>3.5</v>
      </c>
      <c r="E45" s="37" t="s">
        <v>9</v>
      </c>
    </row>
    <row r="46" spans="2:5" ht="12.75">
      <c r="B46" s="30" t="s">
        <v>35</v>
      </c>
      <c r="C46" s="38"/>
      <c r="D46" s="58">
        <v>2</v>
      </c>
      <c r="E46" s="32" t="s">
        <v>9</v>
      </c>
    </row>
    <row r="47" ht="12.75">
      <c r="L47" s="7"/>
    </row>
    <row r="48" ht="12.75">
      <c r="B48" s="3" t="s">
        <v>89</v>
      </c>
    </row>
    <row r="49" spans="2:12" ht="12.75">
      <c r="B49" s="27"/>
      <c r="C49" s="34"/>
      <c r="D49" s="42" t="s">
        <v>74</v>
      </c>
      <c r="E49" s="50" t="s">
        <v>73</v>
      </c>
      <c r="F49" s="34" t="s">
        <v>4</v>
      </c>
      <c r="G49" s="34"/>
      <c r="H49" s="34"/>
      <c r="I49" s="35">
        <f>IF(4.4*(C30/C31)^0.25&lt;7,7,IF(4.4*(C30/C31)^0.25&gt;10,10,4.4*(C30/C31)^0.25))</f>
        <v>7.71263405232329</v>
      </c>
      <c r="J49" s="34" t="s">
        <v>81</v>
      </c>
      <c r="K49" s="34"/>
      <c r="L49" s="29"/>
    </row>
    <row r="50" spans="2:12" ht="12.75">
      <c r="B50" s="36"/>
      <c r="C50" s="26"/>
      <c r="D50" s="43" t="s">
        <v>69</v>
      </c>
      <c r="E50" s="51" t="s">
        <v>69</v>
      </c>
      <c r="F50" s="26" t="s">
        <v>4</v>
      </c>
      <c r="G50" s="26"/>
      <c r="H50" s="26"/>
      <c r="I50" s="33">
        <f>1.2*I49</f>
        <v>9.255160862787948</v>
      </c>
      <c r="J50" s="26" t="s">
        <v>82</v>
      </c>
      <c r="K50" s="26"/>
      <c r="L50" s="37"/>
    </row>
    <row r="51" spans="2:12" ht="12.75">
      <c r="B51" s="30"/>
      <c r="C51" s="38"/>
      <c r="D51" s="48" t="s">
        <v>75</v>
      </c>
      <c r="E51" s="53" t="s">
        <v>75</v>
      </c>
      <c r="F51" s="38" t="s">
        <v>5</v>
      </c>
      <c r="G51" s="38"/>
      <c r="H51" s="38"/>
      <c r="I51" s="39">
        <f>IF(C30&lt;3000,0.25,IF(C30&gt;6000,0.33,0.25+(C30-3000)/3000*0.08))</f>
        <v>0.25</v>
      </c>
      <c r="J51" s="38"/>
      <c r="K51" s="38"/>
      <c r="L51" s="32"/>
    </row>
    <row r="52" spans="2:8" ht="12.75">
      <c r="B52" s="27" t="s">
        <v>78</v>
      </c>
      <c r="C52" s="34"/>
      <c r="D52" s="54">
        <f>M99*M101+M100</f>
        <v>1772.2522587839417</v>
      </c>
      <c r="E52" s="55">
        <f>F108*M99+M100</f>
        <v>1840.0616379077287</v>
      </c>
      <c r="F52" s="3" t="s">
        <v>87</v>
      </c>
      <c r="H52" s="14"/>
    </row>
    <row r="53" spans="2:10" ht="12.75">
      <c r="B53" s="36" t="s">
        <v>79</v>
      </c>
      <c r="C53" s="26"/>
      <c r="D53" s="44">
        <f>D52*2/C30</f>
        <v>2.8770328876362687</v>
      </c>
      <c r="E53" s="49">
        <f>E52/C30*2</f>
        <v>2.9871130485515076</v>
      </c>
      <c r="F53" s="27" t="s">
        <v>88</v>
      </c>
      <c r="G53" s="34"/>
      <c r="H53" s="34"/>
      <c r="I53" s="46">
        <f>D52/(2.25*($G$30*$G$32)^0.5*(2+$G$33))</f>
        <v>2.53917088468723</v>
      </c>
      <c r="J53" s="29" t="str">
        <f>IF(I53&gt;I54,"inches ** Value too high.  Increase tire pressure or use larger tires**","inches")</f>
        <v>inches</v>
      </c>
    </row>
    <row r="54" spans="2:10" ht="12.75">
      <c r="B54" s="36" t="s">
        <v>160</v>
      </c>
      <c r="C54" s="26"/>
      <c r="D54" s="44">
        <f>D53+0.67</f>
        <v>3.5470328876362687</v>
      </c>
      <c r="E54" s="49">
        <f>E53+1</f>
        <v>3.9871130485515076</v>
      </c>
      <c r="F54" s="30" t="s">
        <v>86</v>
      </c>
      <c r="G54" s="38"/>
      <c r="H54" s="38"/>
      <c r="I54" s="47">
        <f>($G$30-$G$31)/2</f>
        <v>2.7</v>
      </c>
      <c r="J54" s="32" t="s">
        <v>9</v>
      </c>
    </row>
    <row r="55" spans="2:5" ht="12.75">
      <c r="B55" s="36" t="s">
        <v>132</v>
      </c>
      <c r="C55" s="26"/>
      <c r="D55" s="44">
        <f>H112</f>
        <v>10.458416782844377</v>
      </c>
      <c r="E55" s="44">
        <f>I112</f>
        <v>10.858573558014234</v>
      </c>
    </row>
    <row r="56" spans="2:5" ht="12.75">
      <c r="B56" s="30" t="s">
        <v>146</v>
      </c>
      <c r="C56" s="38"/>
      <c r="D56" s="45">
        <f>$M$103/M106-1</f>
        <v>0.5661816879248764</v>
      </c>
      <c r="E56" s="52">
        <f>$M$103/N106-1</f>
        <v>0.5084652475267228</v>
      </c>
    </row>
    <row r="57" spans="2:5" ht="12.75">
      <c r="B57" s="27" t="s">
        <v>91</v>
      </c>
      <c r="C57" s="34"/>
      <c r="D57" s="69">
        <f>IF(K93&lt;9.2,9.2,IF(K93&gt;18.7,18.7,K93))</f>
        <v>11.061209012923777</v>
      </c>
      <c r="E57" s="70">
        <f>1.44*D57</f>
        <v>15.928140978610239</v>
      </c>
    </row>
    <row r="58" spans="2:5" ht="12.75">
      <c r="B58" s="30" t="s">
        <v>159</v>
      </c>
      <c r="C58" s="38"/>
      <c r="D58" s="56">
        <f>$C$30*(D57+(1-2/3)*H112)/(D57+H112)</f>
        <v>832.8366316791603</v>
      </c>
      <c r="E58" s="57">
        <f>$C$30*E57/(E57+I112)</f>
        <v>732.5821783338669</v>
      </c>
    </row>
    <row r="60" spans="2:9" ht="12.75">
      <c r="B60" s="27" t="s">
        <v>138</v>
      </c>
      <c r="C60" s="34"/>
      <c r="D60" s="34"/>
      <c r="E60" s="34"/>
      <c r="F60" s="34"/>
      <c r="G60" s="34"/>
      <c r="H60" s="28">
        <v>90</v>
      </c>
      <c r="I60" s="29" t="s">
        <v>137</v>
      </c>
    </row>
    <row r="61" spans="2:9" ht="12.75">
      <c r="B61" s="36" t="s">
        <v>149</v>
      </c>
      <c r="C61" s="26"/>
      <c r="D61" s="26"/>
      <c r="E61" s="26"/>
      <c r="F61" s="26"/>
      <c r="G61" s="26"/>
      <c r="H61" s="71">
        <f>E112</f>
        <v>3.2716258284739954</v>
      </c>
      <c r="I61" s="37" t="s">
        <v>9</v>
      </c>
    </row>
    <row r="62" spans="2:9" ht="12.75">
      <c r="B62" s="30" t="s">
        <v>139</v>
      </c>
      <c r="C62" s="38"/>
      <c r="D62" s="38"/>
      <c r="E62" s="38"/>
      <c r="F62" s="38"/>
      <c r="G62" s="38"/>
      <c r="H62" s="72">
        <f>I112-E112</f>
        <v>7.586947729540238</v>
      </c>
      <c r="I62" s="32" t="s">
        <v>9</v>
      </c>
    </row>
    <row r="65" spans="2:9" ht="12.75">
      <c r="B65" s="3" t="s">
        <v>77</v>
      </c>
      <c r="E65" s="1" t="s">
        <v>32</v>
      </c>
      <c r="H65" s="2">
        <f>D38*D37/D35</f>
        <v>4.555978977612215</v>
      </c>
      <c r="I65" s="1" t="s">
        <v>148</v>
      </c>
    </row>
    <row r="66" spans="2:12" ht="12.75">
      <c r="B66" s="25" t="s">
        <v>36</v>
      </c>
      <c r="D66" s="1" t="s">
        <v>38</v>
      </c>
      <c r="L66" s="7"/>
    </row>
    <row r="67" spans="2:12" ht="12.75">
      <c r="B67" s="7"/>
      <c r="D67" s="1" t="s">
        <v>19</v>
      </c>
      <c r="E67" s="2">
        <f>D37/19</f>
        <v>1.6442630896645587</v>
      </c>
      <c r="F67" s="1" t="s">
        <v>9</v>
      </c>
      <c r="G67" s="4" t="s">
        <v>39</v>
      </c>
      <c r="H67" s="12" t="s">
        <v>24</v>
      </c>
      <c r="I67" s="4" t="s">
        <v>103</v>
      </c>
      <c r="J67" s="15"/>
      <c r="L67" s="7"/>
    </row>
    <row r="68" spans="2:9" ht="12.75">
      <c r="B68" s="12" t="s">
        <v>18</v>
      </c>
      <c r="C68" s="4"/>
      <c r="D68" s="1" t="s">
        <v>37</v>
      </c>
      <c r="E68" s="4" t="s">
        <v>43</v>
      </c>
      <c r="F68" s="4" t="s">
        <v>20</v>
      </c>
      <c r="G68" s="4" t="s">
        <v>63</v>
      </c>
      <c r="H68" s="4"/>
      <c r="I68" s="4" t="s">
        <v>24</v>
      </c>
    </row>
    <row r="69" spans="2:11" ht="12.75">
      <c r="B69" s="12"/>
      <c r="C69" s="4" t="s">
        <v>100</v>
      </c>
      <c r="D69" s="12" t="s">
        <v>9</v>
      </c>
      <c r="E69" s="4" t="s">
        <v>44</v>
      </c>
      <c r="F69" s="4" t="s">
        <v>23</v>
      </c>
      <c r="G69" s="4"/>
      <c r="H69" s="4"/>
      <c r="I69" s="4"/>
      <c r="J69" s="4"/>
      <c r="K69" s="4"/>
    </row>
    <row r="70" spans="2:11" s="4" customFormat="1" ht="12.75">
      <c r="B70" s="4">
        <v>1</v>
      </c>
      <c r="C70" s="5">
        <f>C71+$E$67</f>
        <v>35.79697768123882</v>
      </c>
      <c r="D70" s="5">
        <f aca="true" t="shared" si="0" ref="D70:D89">$D$46+($D$45-$D$46)/$D$37*(C70-$H$65)</f>
        <v>3.4999999999999996</v>
      </c>
      <c r="E70" s="5">
        <f aca="true" t="shared" si="1" ref="E70:E90">D70*$D$44</f>
        <v>3.9374999999999996</v>
      </c>
      <c r="F70" s="13">
        <f aca="true" t="shared" si="2" ref="F70:F90">$D$44^3/12*D70</f>
        <v>0.41528320312499994</v>
      </c>
      <c r="G70" s="14">
        <f aca="true" t="shared" si="3" ref="G70:G90">C70/F70</f>
        <v>86.19895389909126</v>
      </c>
      <c r="H70" s="14">
        <v>0</v>
      </c>
      <c r="I70" s="14">
        <v>0</v>
      </c>
      <c r="J70" s="1"/>
      <c r="K70" s="1"/>
    </row>
    <row r="71" spans="2:9" ht="12.75">
      <c r="B71" s="4">
        <f>1+B70</f>
        <v>2</v>
      </c>
      <c r="C71" s="5">
        <f aca="true" t="shared" si="4" ref="C71:C88">C72+$E$67</f>
        <v>34.15271459157427</v>
      </c>
      <c r="D71" s="5">
        <f t="shared" si="0"/>
        <v>3.421052631578947</v>
      </c>
      <c r="E71" s="5">
        <f t="shared" si="1"/>
        <v>3.848684210526315</v>
      </c>
      <c r="F71" s="13">
        <f t="shared" si="2"/>
        <v>0.4059159128289473</v>
      </c>
      <c r="G71" s="14">
        <f t="shared" si="3"/>
        <v>84.13741248416196</v>
      </c>
      <c r="H71" s="14">
        <f aca="true" t="shared" si="5" ref="H71:H90">H70+(G71+G70)/2*(C70-C71)</f>
        <v>140.0389000357808</v>
      </c>
      <c r="I71" s="14">
        <f>I70+(H71+H70)/2*(C70-C71)</f>
        <v>115.13039722302939</v>
      </c>
    </row>
    <row r="72" spans="2:9" ht="12.75">
      <c r="B72" s="4">
        <f aca="true" t="shared" si="6" ref="B72:B89">1+B71</f>
        <v>3</v>
      </c>
      <c r="C72" s="5">
        <f t="shared" si="4"/>
        <v>32.50845150190971</v>
      </c>
      <c r="D72" s="5">
        <f t="shared" si="0"/>
        <v>3.3421052631578947</v>
      </c>
      <c r="E72" s="5">
        <f t="shared" si="1"/>
        <v>3.7598684210526314</v>
      </c>
      <c r="F72" s="13">
        <f t="shared" si="2"/>
        <v>0.39654862253289475</v>
      </c>
      <c r="G72" s="14">
        <f t="shared" si="3"/>
        <v>81.9784754118344</v>
      </c>
      <c r="H72" s="14">
        <f t="shared" si="5"/>
        <v>276.6080115729018</v>
      </c>
      <c r="I72" s="14">
        <f aca="true" t="shared" si="7" ref="I72:I90">I71+(H72+H71)/2*(C71-C72)</f>
        <v>457.668966313473</v>
      </c>
    </row>
    <row r="73" spans="2:9" ht="12.75">
      <c r="B73" s="4">
        <f t="shared" si="6"/>
        <v>4</v>
      </c>
      <c r="C73" s="5">
        <f t="shared" si="4"/>
        <v>30.864188412245156</v>
      </c>
      <c r="D73" s="5">
        <f t="shared" si="0"/>
        <v>3.2631578947368425</v>
      </c>
      <c r="E73" s="5">
        <f t="shared" si="1"/>
        <v>3.671052631578948</v>
      </c>
      <c r="F73" s="13">
        <f t="shared" si="2"/>
        <v>0.38718133223684215</v>
      </c>
      <c r="G73" s="14">
        <f t="shared" si="3"/>
        <v>79.71507364245873</v>
      </c>
      <c r="H73" s="14">
        <f>H72+(G73+G72)/2*(C72-C73)</f>
        <v>409.54137884632144</v>
      </c>
      <c r="I73" s="14">
        <f t="shared" si="7"/>
        <v>1021.7740246445546</v>
      </c>
    </row>
    <row r="74" spans="2:9" ht="12.75">
      <c r="B74" s="4">
        <f t="shared" si="6"/>
        <v>5</v>
      </c>
      <c r="C74" s="5">
        <f t="shared" si="4"/>
        <v>29.219925322580597</v>
      </c>
      <c r="D74" s="5">
        <f t="shared" si="0"/>
        <v>3.1842105263157894</v>
      </c>
      <c r="E74" s="5">
        <f t="shared" si="1"/>
        <v>3.582236842105263</v>
      </c>
      <c r="F74" s="13">
        <f t="shared" si="2"/>
        <v>0.37781404194078944</v>
      </c>
      <c r="G74" s="14">
        <f t="shared" si="3"/>
        <v>77.33943707460166</v>
      </c>
      <c r="H74" s="14">
        <f t="shared" si="5"/>
        <v>538.6608463650161</v>
      </c>
      <c r="I74" s="14">
        <f t="shared" si="7"/>
        <v>1801.3209848709566</v>
      </c>
    </row>
    <row r="75" spans="2:9" ht="12.75">
      <c r="B75" s="4">
        <f t="shared" si="6"/>
        <v>6</v>
      </c>
      <c r="C75" s="5">
        <f t="shared" si="4"/>
        <v>27.575662232916038</v>
      </c>
      <c r="D75" s="5">
        <f t="shared" si="0"/>
        <v>3.105263157894737</v>
      </c>
      <c r="E75" s="5">
        <f t="shared" si="1"/>
        <v>3.493421052631579</v>
      </c>
      <c r="F75" s="13">
        <f t="shared" si="2"/>
        <v>0.3684467516447369</v>
      </c>
      <c r="G75" s="14">
        <f t="shared" si="3"/>
        <v>74.843005427023</v>
      </c>
      <c r="H75" s="14">
        <f t="shared" si="5"/>
        <v>663.7748329152264</v>
      </c>
      <c r="I75" s="14">
        <f t="shared" si="7"/>
        <v>2789.8812874390737</v>
      </c>
    </row>
    <row r="76" spans="2:9" ht="12.75">
      <c r="B76" s="4">
        <f t="shared" si="6"/>
        <v>7</v>
      </c>
      <c r="C76" s="5">
        <f t="shared" si="4"/>
        <v>25.93139914325148</v>
      </c>
      <c r="D76" s="5">
        <f t="shared" si="0"/>
        <v>3.026315789473684</v>
      </c>
      <c r="E76" s="5">
        <f t="shared" si="1"/>
        <v>3.4046052631578947</v>
      </c>
      <c r="F76" s="13">
        <f t="shared" si="2"/>
        <v>0.3590794613486842</v>
      </c>
      <c r="G76" s="14">
        <f t="shared" si="3"/>
        <v>72.21632517174461</v>
      </c>
      <c r="H76" s="14">
        <f t="shared" si="5"/>
        <v>784.6769475623921</v>
      </c>
      <c r="I76" s="14">
        <f t="shared" si="7"/>
        <v>3980.699187338204</v>
      </c>
    </row>
    <row r="77" spans="2:9" ht="12.75">
      <c r="B77" s="4">
        <f t="shared" si="6"/>
        <v>8</v>
      </c>
      <c r="C77" s="5">
        <f t="shared" si="4"/>
        <v>24.28713605358692</v>
      </c>
      <c r="D77" s="5">
        <f t="shared" si="0"/>
        <v>2.947368421052632</v>
      </c>
      <c r="E77" s="5">
        <f t="shared" si="1"/>
        <v>3.3157894736842106</v>
      </c>
      <c r="F77" s="13">
        <f t="shared" si="2"/>
        <v>0.34971217105263164</v>
      </c>
      <c r="G77" s="14">
        <f t="shared" si="3"/>
        <v>69.44892990279057</v>
      </c>
      <c r="H77" s="14">
        <f t="shared" si="5"/>
        <v>901.1444225658787</v>
      </c>
      <c r="I77" s="14">
        <f t="shared" si="7"/>
        <v>5366.666114673029</v>
      </c>
    </row>
    <row r="78" spans="2:9" ht="12.75">
      <c r="B78" s="4">
        <f t="shared" si="6"/>
        <v>9</v>
      </c>
      <c r="C78" s="5">
        <f t="shared" si="4"/>
        <v>22.64287296392236</v>
      </c>
      <c r="D78" s="5">
        <f t="shared" si="0"/>
        <v>2.8684210526315788</v>
      </c>
      <c r="E78" s="5">
        <f t="shared" si="1"/>
        <v>3.226973684210526</v>
      </c>
      <c r="F78" s="13">
        <f t="shared" si="2"/>
        <v>0.3403448807565789</v>
      </c>
      <c r="G78" s="14">
        <f t="shared" si="3"/>
        <v>66.52920094930698</v>
      </c>
      <c r="H78" s="14">
        <f t="shared" si="5"/>
        <v>1012.9363333467195</v>
      </c>
      <c r="I78" s="14">
        <f t="shared" si="7"/>
        <v>6940.292283465191</v>
      </c>
    </row>
    <row r="79" spans="2:9" ht="12.75">
      <c r="B79" s="4">
        <f t="shared" si="6"/>
        <v>10</v>
      </c>
      <c r="C79" s="5">
        <f t="shared" si="4"/>
        <v>20.998609874257802</v>
      </c>
      <c r="D79" s="5">
        <f t="shared" si="0"/>
        <v>2.7894736842105265</v>
      </c>
      <c r="E79" s="5">
        <f t="shared" si="1"/>
        <v>3.1381578947368425</v>
      </c>
      <c r="F79" s="13">
        <f t="shared" si="2"/>
        <v>0.3309775904605263</v>
      </c>
      <c r="G79" s="14">
        <f t="shared" si="3"/>
        <v>63.44420431921109</v>
      </c>
      <c r="H79" s="14">
        <f t="shared" si="5"/>
        <v>1119.7915698072381</v>
      </c>
      <c r="I79" s="14">
        <f t="shared" si="7"/>
        <v>8693.675169192062</v>
      </c>
    </row>
    <row r="80" spans="2:9" ht="12.75">
      <c r="B80" s="4">
        <f t="shared" si="6"/>
        <v>11</v>
      </c>
      <c r="C80" s="5">
        <f t="shared" si="4"/>
        <v>19.354346784593243</v>
      </c>
      <c r="D80" s="5">
        <f t="shared" si="0"/>
        <v>2.7105263157894735</v>
      </c>
      <c r="E80" s="5">
        <f t="shared" si="1"/>
        <v>3.0493421052631575</v>
      </c>
      <c r="F80" s="13">
        <f t="shared" si="2"/>
        <v>0.3216103001644737</v>
      </c>
      <c r="G80" s="14">
        <f t="shared" si="3"/>
        <v>60.17949914755622</v>
      </c>
      <c r="H80" s="14">
        <f t="shared" si="5"/>
        <v>1221.426516116259</v>
      </c>
      <c r="I80" s="14">
        <f t="shared" si="7"/>
        <v>10618.464410961618</v>
      </c>
    </row>
    <row r="81" spans="2:9" ht="12.75">
      <c r="B81" s="4">
        <f t="shared" si="6"/>
        <v>12</v>
      </c>
      <c r="C81" s="5">
        <f t="shared" si="4"/>
        <v>17.710083694928684</v>
      </c>
      <c r="D81" s="5">
        <f t="shared" si="0"/>
        <v>2.6315789473684212</v>
      </c>
      <c r="E81" s="5">
        <f t="shared" si="1"/>
        <v>2.960526315789474</v>
      </c>
      <c r="F81" s="13">
        <f t="shared" si="2"/>
        <v>0.3122430098684211</v>
      </c>
      <c r="G81" s="14">
        <f t="shared" si="3"/>
        <v>56.71891166560205</v>
      </c>
      <c r="H81" s="14">
        <f t="shared" si="5"/>
        <v>1317.5323871865194</v>
      </c>
      <c r="I81" s="14">
        <f t="shared" si="7"/>
        <v>12705.822616399602</v>
      </c>
    </row>
    <row r="82" spans="2:9" ht="12.75">
      <c r="B82" s="4">
        <f t="shared" si="6"/>
        <v>13</v>
      </c>
      <c r="C82" s="5">
        <f t="shared" si="4"/>
        <v>16.065820605264125</v>
      </c>
      <c r="D82" s="5">
        <f t="shared" si="0"/>
        <v>2.552631578947368</v>
      </c>
      <c r="E82" s="5">
        <f t="shared" si="1"/>
        <v>2.8717105263157894</v>
      </c>
      <c r="F82" s="13">
        <f t="shared" si="2"/>
        <v>0.30287571957236836</v>
      </c>
      <c r="G82" s="14">
        <f t="shared" si="3"/>
        <v>53.04426722600125</v>
      </c>
      <c r="H82" s="14">
        <f t="shared" si="5"/>
        <v>1407.7721590143751</v>
      </c>
      <c r="I82" s="14">
        <f t="shared" si="7"/>
        <v>14946.381453106178</v>
      </c>
    </row>
    <row r="83" spans="2:9" ht="12.75">
      <c r="B83" s="4">
        <f t="shared" si="6"/>
        <v>14</v>
      </c>
      <c r="C83" s="5">
        <f t="shared" si="4"/>
        <v>14.421557515599568</v>
      </c>
      <c r="D83" s="5">
        <f t="shared" si="0"/>
        <v>2.473684210526316</v>
      </c>
      <c r="E83" s="5">
        <f t="shared" si="1"/>
        <v>2.7828947368421053</v>
      </c>
      <c r="F83" s="13">
        <f t="shared" si="2"/>
        <v>0.2935084292763158</v>
      </c>
      <c r="G83" s="14">
        <f t="shared" si="3"/>
        <v>49.13507101365995</v>
      </c>
      <c r="H83" s="14">
        <f t="shared" si="5"/>
        <v>1491.7770162112877</v>
      </c>
      <c r="I83" s="14">
        <f t="shared" si="7"/>
        <v>17330.19229585161</v>
      </c>
    </row>
    <row r="84" spans="2:9" ht="12.75">
      <c r="B84" s="4">
        <f t="shared" si="6"/>
        <v>15</v>
      </c>
      <c r="C84" s="5">
        <f t="shared" si="4"/>
        <v>12.77729442593501</v>
      </c>
      <c r="D84" s="5">
        <f t="shared" si="0"/>
        <v>2.3947368421052633</v>
      </c>
      <c r="E84" s="5">
        <f t="shared" si="1"/>
        <v>2.6940789473684212</v>
      </c>
      <c r="F84" s="13">
        <f t="shared" si="2"/>
        <v>0.28414113898026316</v>
      </c>
      <c r="G84" s="14">
        <f t="shared" si="3"/>
        <v>44.96812560050496</v>
      </c>
      <c r="H84" s="14">
        <f t="shared" si="5"/>
        <v>1569.1422226173468</v>
      </c>
      <c r="I84" s="14">
        <f t="shared" si="7"/>
        <v>19846.67055827664</v>
      </c>
    </row>
    <row r="85" spans="2:11" ht="12.75">
      <c r="B85" s="4">
        <f t="shared" si="6"/>
        <v>16</v>
      </c>
      <c r="C85" s="5">
        <f t="shared" si="4"/>
        <v>11.13303133627045</v>
      </c>
      <c r="D85" s="5">
        <f t="shared" si="0"/>
        <v>2.3157894736842106</v>
      </c>
      <c r="E85" s="5">
        <f t="shared" si="1"/>
        <v>2.605263157894737</v>
      </c>
      <c r="F85" s="13">
        <f t="shared" si="2"/>
        <v>0.27477384868421056</v>
      </c>
      <c r="G85" s="14">
        <f t="shared" si="3"/>
        <v>40.51707027281666</v>
      </c>
      <c r="H85" s="14">
        <f t="shared" si="5"/>
        <v>1639.4222987609708</v>
      </c>
      <c r="I85" s="14">
        <f t="shared" si="7"/>
        <v>22484.53266493144</v>
      </c>
      <c r="K85" s="15"/>
    </row>
    <row r="86" spans="2:9" ht="12.75">
      <c r="B86" s="4">
        <f t="shared" si="6"/>
        <v>17</v>
      </c>
      <c r="C86" s="5">
        <f t="shared" si="4"/>
        <v>9.488768246605892</v>
      </c>
      <c r="D86" s="5">
        <f t="shared" si="0"/>
        <v>2.236842105263158</v>
      </c>
      <c r="E86" s="5">
        <f t="shared" si="1"/>
        <v>2.5164473684210527</v>
      </c>
      <c r="F86" s="13">
        <f t="shared" si="2"/>
        <v>0.2654065583881579</v>
      </c>
      <c r="G86" s="14">
        <f t="shared" si="3"/>
        <v>35.75182280435037</v>
      </c>
      <c r="H86" s="14">
        <f t="shared" si="5"/>
        <v>1702.1253616491501</v>
      </c>
      <c r="I86" s="14">
        <f t="shared" si="7"/>
        <v>25231.724405115103</v>
      </c>
    </row>
    <row r="87" spans="2:9" ht="12.75">
      <c r="B87" s="4">
        <f t="shared" si="6"/>
        <v>18</v>
      </c>
      <c r="C87" s="5">
        <f t="shared" si="4"/>
        <v>7.844505156941333</v>
      </c>
      <c r="D87" s="5">
        <f t="shared" si="0"/>
        <v>2.1578947368421053</v>
      </c>
      <c r="E87" s="5">
        <f t="shared" si="1"/>
        <v>2.4276315789473686</v>
      </c>
      <c r="F87" s="13">
        <f t="shared" si="2"/>
        <v>0.25603926809210525</v>
      </c>
      <c r="G87" s="14">
        <f t="shared" si="3"/>
        <v>30.63789869184996</v>
      </c>
      <c r="H87" s="14">
        <f t="shared" si="5"/>
        <v>1756.706445943806</v>
      </c>
      <c r="I87" s="14">
        <f t="shared" si="7"/>
        <v>28075.339142406527</v>
      </c>
    </row>
    <row r="88" spans="2:9" ht="12.75">
      <c r="B88" s="4">
        <f t="shared" si="6"/>
        <v>19</v>
      </c>
      <c r="C88" s="5">
        <f t="shared" si="4"/>
        <v>6.200242067276774</v>
      </c>
      <c r="D88" s="5">
        <f t="shared" si="0"/>
        <v>2.0789473684210527</v>
      </c>
      <c r="E88" s="5">
        <f t="shared" si="1"/>
        <v>2.338815789473684</v>
      </c>
      <c r="F88" s="13">
        <f t="shared" si="2"/>
        <v>0.24667197779605263</v>
      </c>
      <c r="G88" s="14">
        <f t="shared" si="3"/>
        <v>25.13557527966597</v>
      </c>
      <c r="H88" s="14">
        <f t="shared" si="5"/>
        <v>1802.5595782606715</v>
      </c>
      <c r="I88" s="14">
        <f t="shared" si="7"/>
        <v>31001.5240173548</v>
      </c>
    </row>
    <row r="89" spans="2:9" ht="12.75">
      <c r="B89" s="4">
        <f t="shared" si="6"/>
        <v>20</v>
      </c>
      <c r="C89" s="5">
        <f>H65</f>
        <v>4.555978977612215</v>
      </c>
      <c r="D89" s="5">
        <f t="shared" si="0"/>
        <v>2</v>
      </c>
      <c r="E89" s="5">
        <f t="shared" si="1"/>
        <v>2.25</v>
      </c>
      <c r="F89" s="13">
        <f t="shared" si="2"/>
        <v>0.2373046875</v>
      </c>
      <c r="G89" s="14">
        <f t="shared" si="3"/>
        <v>19.19885791388851</v>
      </c>
      <c r="H89" s="14">
        <f t="shared" si="5"/>
        <v>1839.008314311352</v>
      </c>
      <c r="I89" s="14">
        <f t="shared" si="7"/>
        <v>33995.371854486664</v>
      </c>
    </row>
    <row r="90" spans="2:9" ht="12.75">
      <c r="B90" s="4">
        <v>21</v>
      </c>
      <c r="C90" s="4">
        <v>0</v>
      </c>
      <c r="D90" s="5">
        <f>D46</f>
        <v>2</v>
      </c>
      <c r="E90" s="5">
        <f t="shared" si="1"/>
        <v>2.25</v>
      </c>
      <c r="F90" s="13">
        <f t="shared" si="2"/>
        <v>0.2373046875</v>
      </c>
      <c r="G90" s="4">
        <f t="shared" si="3"/>
        <v>0</v>
      </c>
      <c r="H90" s="14">
        <f t="shared" si="5"/>
        <v>1882.743110836272</v>
      </c>
      <c r="I90" s="14">
        <f t="shared" si="7"/>
        <v>42473.4824809221</v>
      </c>
    </row>
    <row r="91" ht="12.75">
      <c r="B91" s="1" t="s">
        <v>64</v>
      </c>
    </row>
    <row r="92" spans="2:12" ht="12.75">
      <c r="B92" s="1" t="s">
        <v>153</v>
      </c>
      <c r="F92" s="15">
        <f>D41*(D35+D38)/(2*F70)</f>
        <v>794.6384479717814</v>
      </c>
      <c r="H92" s="1" t="s">
        <v>57</v>
      </c>
      <c r="K92" s="20">
        <f>ACOS(D35/(D37))</f>
        <v>0.6947382761967031</v>
      </c>
      <c r="L92" s="1" t="s">
        <v>58</v>
      </c>
    </row>
    <row r="93" spans="2:12" ht="12.75">
      <c r="B93" s="1" t="s">
        <v>154</v>
      </c>
      <c r="F93" s="1">
        <f>(D35+D38)*D43/(3*F70)</f>
        <v>198.65961199294537</v>
      </c>
      <c r="H93" s="1" t="s">
        <v>90</v>
      </c>
      <c r="K93" s="6">
        <f>3.6*(C30/C31)^0.5</f>
        <v>11.061209012923777</v>
      </c>
      <c r="L93" s="1" t="s">
        <v>9</v>
      </c>
    </row>
    <row r="94" spans="2:11" ht="12.75">
      <c r="B94" s="1" t="s">
        <v>42</v>
      </c>
      <c r="F94" s="15">
        <f>I90</f>
        <v>42473.4824809221</v>
      </c>
      <c r="K94" s="2"/>
    </row>
    <row r="96" ht="12.75">
      <c r="B96" s="16" t="s">
        <v>72</v>
      </c>
    </row>
    <row r="97" spans="2:13" ht="12.75">
      <c r="B97" s="7" t="s">
        <v>60</v>
      </c>
      <c r="E97" s="4">
        <f>H60/100</f>
        <v>0.9</v>
      </c>
      <c r="F97" s="4">
        <v>3</v>
      </c>
      <c r="G97" s="4">
        <v>5</v>
      </c>
      <c r="H97" s="17">
        <f>D53</f>
        <v>2.8770328876362687</v>
      </c>
      <c r="I97" s="17">
        <f>E53</f>
        <v>2.9871130485515076</v>
      </c>
      <c r="J97" s="1" t="s">
        <v>62</v>
      </c>
      <c r="M97" s="19">
        <f>(G98-F98)/(G107-F107)</f>
        <v>1.0796317430752833</v>
      </c>
    </row>
    <row r="98" spans="2:13" ht="12.75">
      <c r="B98" s="7" t="s">
        <v>61</v>
      </c>
      <c r="E98" s="14">
        <f>$C$30/2*E97</f>
        <v>554.4</v>
      </c>
      <c r="F98" s="14">
        <f>$C$30/2*F97</f>
        <v>1848</v>
      </c>
      <c r="G98" s="14">
        <f>$C$30/2*G97</f>
        <v>3080</v>
      </c>
      <c r="H98" s="14">
        <f>$C$30/2*H97</f>
        <v>1772.2522587839414</v>
      </c>
      <c r="I98" s="14">
        <f>$C$30/2*I97</f>
        <v>1840.0616379077287</v>
      </c>
      <c r="J98" s="1" t="s">
        <v>66</v>
      </c>
      <c r="M98" s="19">
        <f>G98-M97*G107</f>
        <v>-7941.0835507686625</v>
      </c>
    </row>
    <row r="99" spans="2:13" ht="12.75">
      <c r="B99" s="7" t="s">
        <v>45</v>
      </c>
      <c r="E99" s="5">
        <f>IF(E98/(2.25*($G$30*$G$32)^0.5*(2+$G$33))&gt;($G$30-$G$31)/2,($G$30-$G$31)/2,E98/(2.25*($G$30*$G$32)^0.5*(2+$G$33)))</f>
        <v>0.7943092364495146</v>
      </c>
      <c r="F99" s="5">
        <f>IF(F98/(2.25*($G$30*$G$32)^0.5*(2+$G$33))&gt;($G$30-$G$31)/2,($G$30-$G$31)/2,F98/(2.25*($G$30*$G$32)^0.5*(2+$G$33)))</f>
        <v>2.6476974548317154</v>
      </c>
      <c r="G99" s="5">
        <f>IF(G98/(2.25*($G$30*$G$32)^0.5*(2+$G$33))&gt;($G$30-$G$31)/2,($G$30-$G$31)/2,G98/(2.25*($G$30*$G$32)^0.5*(2+$G$33)))</f>
        <v>2.7</v>
      </c>
      <c r="H99" s="5">
        <f>IF(H98/(2.25*($G$30*$G$32)^0.5*(2+$G$33))&gt;($G$30-$G$31)/2,($G$30-$G$31)/2,H98/(2.25*($G$30*$G$32)^0.5*(2+$G$33)))</f>
        <v>2.5391708846872296</v>
      </c>
      <c r="I99" s="5">
        <f>IF(I98/(2.25*($G$30*$G$32)^0.5*(2+$G$33))&gt;($G$30-$G$31)/2,($G$30-$G$31)/2,I98/(2.25*($G$30*$G$32)^0.5*(2+$G$33)))</f>
        <v>2.6363238719814777</v>
      </c>
      <c r="J99" s="21" t="s">
        <v>67</v>
      </c>
      <c r="K99" s="18"/>
      <c r="M99" s="24">
        <f>(G98-F98)/(G111-F111)</f>
        <v>0.08119407739363642</v>
      </c>
    </row>
    <row r="100" spans="2:13" ht="12.75">
      <c r="B100" s="7" t="s">
        <v>50</v>
      </c>
      <c r="E100" s="14">
        <f>E98*($D$35+$D$38)/($D$37+$H$65)</f>
        <v>425.9018774087852</v>
      </c>
      <c r="F100" s="14">
        <f>F98*($D$35+$D$38)/($D$37+$H$65)</f>
        <v>1419.6729246959508</v>
      </c>
      <c r="G100" s="14">
        <f>G98*($D$35+$D$38)/($D$37+$H$65)</f>
        <v>2366.121541159918</v>
      </c>
      <c r="H100" s="14">
        <f>H98*($D$35+$D$38)/($D$37+$H$65)</f>
        <v>1361.4818980123393</v>
      </c>
      <c r="I100" s="14">
        <f>I98*($D$35+$D$38)/($D$37+$H$65)</f>
        <v>1413.5745060115187</v>
      </c>
      <c r="J100" s="21" t="s">
        <v>68</v>
      </c>
      <c r="M100" s="24">
        <f>G98-M99*G111</f>
        <v>1041.7574909803238</v>
      </c>
    </row>
    <row r="101" spans="2:14" ht="12.75">
      <c r="B101" s="7" t="s">
        <v>48</v>
      </c>
      <c r="E101" s="17">
        <f>$F$94*E100/$K$38</f>
        <v>1.722812945591797</v>
      </c>
      <c r="F101" s="17">
        <f>$F$94*F100/$K$38</f>
        <v>5.742709818639325</v>
      </c>
      <c r="G101" s="17">
        <f>$F$94*G100/$K$38</f>
        <v>9.57118303106554</v>
      </c>
      <c r="H101" s="17">
        <f>$F$94*H100/$K$38</f>
        <v>5.507321670792349</v>
      </c>
      <c r="I101" s="17">
        <f>$F$94*I100/$K$38</f>
        <v>5.718041144434129</v>
      </c>
      <c r="J101" s="8" t="s">
        <v>71</v>
      </c>
      <c r="M101" s="15">
        <f>(M100-M98)/(M97-M99)</f>
        <v>8996.89720300794</v>
      </c>
      <c r="N101" s="1" t="s">
        <v>70</v>
      </c>
    </row>
    <row r="102" spans="2:9" ht="12.75">
      <c r="B102" s="7" t="s">
        <v>53</v>
      </c>
      <c r="E102" s="17">
        <f>IF($D$40=1,E98/$K$38*$F$92*($D$37+$H$65),E98/$K$38*$F$93*($D$37+$H$65))</f>
        <v>1.501930572737766</v>
      </c>
      <c r="F102" s="17">
        <f>IF($D$40=1,F98/$K$38*$F$92*($D$37+$H$65),F98/$K$38*$F$93*($D$37+$H$65))</f>
        <v>5.0064352424592204</v>
      </c>
      <c r="G102" s="17">
        <f>IF($D$40=1,G98/$K$38*$F$92*($D$37+$H$65),G98/$K$38*$F$93*($D$37+$H$65))</f>
        <v>8.344058737432036</v>
      </c>
      <c r="H102" s="17">
        <f>IF($D$40=1,H98/$K$38*$F$92*($D$37+$H$65),H98/$K$38*$F$93*($D$37+$H$65))</f>
        <v>4.801226280792146</v>
      </c>
      <c r="I102" s="17">
        <f>IF($D$40=1,I98/$K$38*$F$92*($D$37+$H$65),I98/$K$38*$F$93*($D$37+$H$65))</f>
        <v>4.98492934649269</v>
      </c>
    </row>
    <row r="103" spans="2:14" ht="12.75">
      <c r="B103" s="7" t="s">
        <v>51</v>
      </c>
      <c r="E103" s="17">
        <f>E101+E102</f>
        <v>3.2247435183295634</v>
      </c>
      <c r="F103" s="17">
        <f>F101+F102</f>
        <v>10.749145061098545</v>
      </c>
      <c r="G103" s="17">
        <f>G101+G102</f>
        <v>17.915241768497577</v>
      </c>
      <c r="H103" s="17">
        <f>H101+H102</f>
        <v>10.308547951584494</v>
      </c>
      <c r="I103" s="17">
        <f>I101+I102</f>
        <v>10.70297049092682</v>
      </c>
      <c r="J103" s="1" t="s">
        <v>80</v>
      </c>
      <c r="M103" s="1">
        <f>K40+M104*0.5</f>
        <v>103390</v>
      </c>
      <c r="N103" s="1" t="s">
        <v>10</v>
      </c>
    </row>
    <row r="104" spans="2:14" ht="12.75">
      <c r="B104" s="7" t="s">
        <v>52</v>
      </c>
      <c r="E104" s="17">
        <f>$I$49</f>
        <v>7.71263405232329</v>
      </c>
      <c r="F104" s="17">
        <f>$I$49</f>
        <v>7.71263405232329</v>
      </c>
      <c r="G104" s="17">
        <f>$I$49</f>
        <v>7.71263405232329</v>
      </c>
      <c r="H104" s="17">
        <f>$I$49</f>
        <v>7.71263405232329</v>
      </c>
      <c r="I104" s="17">
        <f>$I$49</f>
        <v>7.71263405232329</v>
      </c>
      <c r="J104" s="1" t="s">
        <v>13</v>
      </c>
      <c r="M104" s="1">
        <f>0.954*K40</f>
        <v>66780</v>
      </c>
      <c r="N104" s="1" t="s">
        <v>14</v>
      </c>
    </row>
    <row r="105" spans="2:14" ht="12.75">
      <c r="B105" s="7" t="s">
        <v>54</v>
      </c>
      <c r="E105" s="14">
        <f>$C$30/64.4*E104^2*6</f>
        <v>6827.8118011369515</v>
      </c>
      <c r="F105" s="14">
        <f>$C$30/64.4*F104^2*6</f>
        <v>6827.8118011369515</v>
      </c>
      <c r="G105" s="14">
        <f>F105</f>
        <v>6827.8118011369515</v>
      </c>
      <c r="H105" s="14">
        <f>$C$30/64.4*H104^2*6</f>
        <v>6827.8118011369515</v>
      </c>
      <c r="I105" s="14">
        <f>H105</f>
        <v>6827.8118011369515</v>
      </c>
      <c r="M105" s="4" t="s">
        <v>144</v>
      </c>
      <c r="N105" s="12" t="s">
        <v>145</v>
      </c>
    </row>
    <row r="106" spans="2:14" ht="12.75">
      <c r="B106" s="7" t="s">
        <v>55</v>
      </c>
      <c r="E106" s="14">
        <f>$C$30/6*(E99+(E101+E102)*COS($K$92))</f>
        <v>671.7738367799938</v>
      </c>
      <c r="F106" s="14">
        <f>$C$30/6*(F99+(F101+F102)*COS($K$92))</f>
        <v>2239.2461225999796</v>
      </c>
      <c r="G106" s="14">
        <f>$C$30/6*(G99+(G101+G102)*COS($K$92))</f>
        <v>3380.3759642353343</v>
      </c>
      <c r="H106" s="14">
        <f>$C$30/6*(H99+(H101+H102)*COS($K$92))</f>
        <v>2147.461579410712</v>
      </c>
      <c r="I106" s="14">
        <f>$C$30/6*(I99+(I101+I102)*COS($K$92))</f>
        <v>2229.627103912256</v>
      </c>
      <c r="J106" s="8" t="s">
        <v>65</v>
      </c>
      <c r="K106" s="8"/>
      <c r="M106" s="14">
        <f>D52*($D$35+$D$38)*$D$44/(2*$F$70)</f>
        <v>66014.05239068228</v>
      </c>
      <c r="N106" s="14">
        <f>E52*($D$35+$D$38)*$D$44/(2*$F$70)</f>
        <v>68539.86206809741</v>
      </c>
    </row>
    <row r="107" spans="2:14" ht="12.75">
      <c r="B107" s="7" t="s">
        <v>59</v>
      </c>
      <c r="E107" s="14">
        <f>E105+E106</f>
        <v>7499.585637916945</v>
      </c>
      <c r="F107" s="14">
        <f>F105+F106</f>
        <v>9067.057923736931</v>
      </c>
      <c r="G107" s="14">
        <f>G105+G106</f>
        <v>10208.187765372286</v>
      </c>
      <c r="H107" s="14">
        <f>H105+H106</f>
        <v>8975.273380547664</v>
      </c>
      <c r="I107" s="14">
        <f>I105+I106</f>
        <v>9057.438905049208</v>
      </c>
      <c r="J107" s="4"/>
      <c r="K107" s="4"/>
      <c r="L107" s="4"/>
      <c r="M107" s="4"/>
      <c r="N107" s="12"/>
    </row>
    <row r="108" spans="2:15" ht="12.75">
      <c r="B108" s="7" t="s">
        <v>161</v>
      </c>
      <c r="E108" s="14">
        <f>1.44*E105</f>
        <v>9832.04899363721</v>
      </c>
      <c r="F108" s="14">
        <f>1.44*F105</f>
        <v>9832.04899363721</v>
      </c>
      <c r="G108" s="14">
        <f>1.44*G105</f>
        <v>9832.04899363721</v>
      </c>
      <c r="H108" s="14">
        <f>1.44*H105</f>
        <v>9832.04899363721</v>
      </c>
      <c r="I108" s="14">
        <f>1.44*I105</f>
        <v>9832.04899363721</v>
      </c>
      <c r="J108" s="7" t="s">
        <v>151</v>
      </c>
      <c r="K108" s="75">
        <f>D41</f>
        <v>24</v>
      </c>
      <c r="L108" s="23"/>
      <c r="M108" s="4"/>
      <c r="N108" s="12"/>
      <c r="O108" s="12"/>
    </row>
    <row r="109" spans="2:15" ht="12.75">
      <c r="B109" s="7" t="s">
        <v>46</v>
      </c>
      <c r="E109" s="14">
        <f>0.47*E99*E98</f>
        <v>206.9715691231771</v>
      </c>
      <c r="F109" s="14">
        <f>0.47*F99*F98</f>
        <v>2299.6841013686344</v>
      </c>
      <c r="G109" s="14">
        <f>0.47*G99*G98</f>
        <v>3908.5199999999995</v>
      </c>
      <c r="H109" s="14">
        <f>0.47*H99*H98</f>
        <v>2115.02412783792</v>
      </c>
      <c r="I109" s="14">
        <f>0.47*I99*I98</f>
        <v>2279.969258308737</v>
      </c>
      <c r="J109" s="74" t="s">
        <v>152</v>
      </c>
      <c r="K109" s="75">
        <f>D35+D38</f>
        <v>27.5</v>
      </c>
      <c r="L109" s="5"/>
      <c r="M109" s="14"/>
      <c r="N109" s="22"/>
      <c r="O109" s="4"/>
    </row>
    <row r="110" spans="2:15" ht="12.75">
      <c r="B110" s="7" t="s">
        <v>49</v>
      </c>
      <c r="E110" s="14">
        <f>E100*E103/2</f>
        <v>686.7121593091862</v>
      </c>
      <c r="F110" s="14">
        <f>F100*F103/2</f>
        <v>7630.135103435403</v>
      </c>
      <c r="G110" s="14">
        <f>G100*G103/2</f>
        <v>21194.81973176501</v>
      </c>
      <c r="H110" s="14">
        <f>H100*H103/2</f>
        <v>7017.450715437235</v>
      </c>
      <c r="I110" s="14">
        <f>I100*I103/2</f>
        <v>7564.72311228387</v>
      </c>
      <c r="J110" s="8" t="s">
        <v>150</v>
      </c>
      <c r="K110" s="75">
        <f>K108+K109</f>
        <v>51.5</v>
      </c>
      <c r="L110" s="5"/>
      <c r="M110" s="14"/>
      <c r="N110" s="22"/>
      <c r="O110" s="4"/>
    </row>
    <row r="111" spans="2:15" ht="12.75">
      <c r="B111" s="7" t="s">
        <v>56</v>
      </c>
      <c r="E111" s="14">
        <f>E110+E109</f>
        <v>893.6837284323633</v>
      </c>
      <c r="F111" s="14">
        <f>F110+F109</f>
        <v>9929.819204804036</v>
      </c>
      <c r="G111" s="14">
        <f>G110+G109</f>
        <v>25103.33973176501</v>
      </c>
      <c r="H111" s="14">
        <f>H110+H109</f>
        <v>9132.474843275155</v>
      </c>
      <c r="I111" s="14">
        <f>I110+I109</f>
        <v>9844.692370592607</v>
      </c>
      <c r="J111" s="12"/>
      <c r="K111" s="14"/>
      <c r="L111" s="5"/>
      <c r="M111" s="14"/>
      <c r="N111" s="22"/>
      <c r="O111" s="4"/>
    </row>
    <row r="112" spans="2:9" ht="12.75">
      <c r="B112" s="7" t="s">
        <v>92</v>
      </c>
      <c r="E112" s="5">
        <f>E99+E103*COS($K$92)</f>
        <v>3.2716258284739954</v>
      </c>
      <c r="F112" s="5"/>
      <c r="G112" s="5"/>
      <c r="H112" s="5">
        <f>H99+H103*COS($K$92)</f>
        <v>10.458416782844377</v>
      </c>
      <c r="I112" s="5">
        <f>I99+I103*COS($K$92)</f>
        <v>10.858573558014234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75" zoomScaleNormal="75" workbookViewId="0" topLeftCell="A11">
      <selection activeCell="D42" sqref="D42"/>
    </sheetView>
  </sheetViews>
  <sheetFormatPr defaultColWidth="9.140625" defaultRowHeight="12.75"/>
  <cols>
    <col min="1" max="1" width="10.28125" style="1" customWidth="1"/>
    <col min="2" max="2" width="12.7109375" style="1" customWidth="1"/>
    <col min="3" max="3" width="15.7109375" style="1" customWidth="1"/>
    <col min="4" max="4" width="10.57421875" style="1" customWidth="1"/>
    <col min="5" max="5" width="10.28125" style="1" customWidth="1"/>
    <col min="6" max="6" width="9.28125" style="1" customWidth="1"/>
    <col min="7" max="7" width="10.28125" style="1" customWidth="1"/>
    <col min="8" max="8" width="11.421875" style="1" customWidth="1"/>
    <col min="9" max="9" width="11.00390625" style="1" customWidth="1"/>
    <col min="10" max="10" width="11.7109375" style="1" customWidth="1"/>
    <col min="11" max="11" width="11.00390625" style="1" customWidth="1"/>
    <col min="12" max="13" width="10.28125" style="1" customWidth="1"/>
    <col min="14" max="14" width="10.8515625" style="1" customWidth="1"/>
    <col min="15" max="15" width="11.140625" style="1" customWidth="1"/>
    <col min="16" max="16" width="13.7109375" style="1" customWidth="1"/>
    <col min="17" max="17" width="17.28125" style="1" bestFit="1" customWidth="1"/>
    <col min="18" max="16384" width="9.140625" style="1" customWidth="1"/>
  </cols>
  <sheetData>
    <row r="1" ht="12.75">
      <c r="A1" s="3" t="s">
        <v>0</v>
      </c>
    </row>
    <row r="2" ht="12.75">
      <c r="A2" s="9" t="s">
        <v>27</v>
      </c>
    </row>
    <row r="3" ht="12.75">
      <c r="A3" s="9" t="s">
        <v>130</v>
      </c>
    </row>
    <row r="4" ht="12.75">
      <c r="A4" s="3" t="s">
        <v>125</v>
      </c>
    </row>
    <row r="5" ht="12.75">
      <c r="A5" s="16" t="s">
        <v>93</v>
      </c>
    </row>
    <row r="6" ht="12.75">
      <c r="A6" s="9" t="s">
        <v>25</v>
      </c>
    </row>
    <row r="7" ht="12.75">
      <c r="A7" s="9" t="s">
        <v>26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2:9" ht="12.75">
      <c r="B29" s="3" t="s">
        <v>83</v>
      </c>
      <c r="E29" s="3" t="s">
        <v>8</v>
      </c>
      <c r="I29" s="3" t="s">
        <v>109</v>
      </c>
    </row>
    <row r="30" spans="2:13" ht="12.75">
      <c r="B30" s="27" t="s">
        <v>1</v>
      </c>
      <c r="C30" s="28">
        <v>1800</v>
      </c>
      <c r="D30" s="34" t="s">
        <v>2</v>
      </c>
      <c r="E30" s="27" t="s">
        <v>6</v>
      </c>
      <c r="F30" s="34"/>
      <c r="G30" s="28">
        <v>16.375</v>
      </c>
      <c r="H30" s="29" t="s">
        <v>9</v>
      </c>
      <c r="I30" s="27"/>
      <c r="J30" s="34"/>
      <c r="K30" s="62" t="s">
        <v>113</v>
      </c>
      <c r="L30" s="62" t="s">
        <v>116</v>
      </c>
      <c r="M30" s="50" t="s">
        <v>119</v>
      </c>
    </row>
    <row r="31" spans="2:13" ht="12.75">
      <c r="B31" s="36" t="s">
        <v>7</v>
      </c>
      <c r="C31" s="10">
        <v>100</v>
      </c>
      <c r="D31" s="26" t="s">
        <v>3</v>
      </c>
      <c r="E31" s="36" t="s">
        <v>21</v>
      </c>
      <c r="F31" s="26"/>
      <c r="G31" s="10">
        <v>8</v>
      </c>
      <c r="H31" s="37" t="s">
        <v>9</v>
      </c>
      <c r="I31" s="36"/>
      <c r="J31" s="26"/>
      <c r="K31" s="60" t="s">
        <v>114</v>
      </c>
      <c r="L31" s="60" t="s">
        <v>117</v>
      </c>
      <c r="M31" s="51" t="s">
        <v>120</v>
      </c>
    </row>
    <row r="32" spans="2:13" ht="12.75">
      <c r="B32" s="36"/>
      <c r="C32" s="26"/>
      <c r="D32" s="26"/>
      <c r="E32" s="36" t="s">
        <v>11</v>
      </c>
      <c r="F32" s="26"/>
      <c r="G32" s="10">
        <v>6</v>
      </c>
      <c r="H32" s="37" t="s">
        <v>9</v>
      </c>
      <c r="I32" s="30" t="s">
        <v>119</v>
      </c>
      <c r="J32" s="38"/>
      <c r="K32" s="64" t="s">
        <v>115</v>
      </c>
      <c r="L32" s="64" t="s">
        <v>118</v>
      </c>
      <c r="M32" s="53" t="s">
        <v>121</v>
      </c>
    </row>
    <row r="33" spans="2:13" ht="12.75">
      <c r="B33" s="30"/>
      <c r="C33" s="38"/>
      <c r="D33" s="38"/>
      <c r="E33" s="30" t="s">
        <v>29</v>
      </c>
      <c r="F33" s="38"/>
      <c r="G33" s="31">
        <v>30</v>
      </c>
      <c r="H33" s="32" t="s">
        <v>10</v>
      </c>
      <c r="I33" s="36" t="s">
        <v>111</v>
      </c>
      <c r="J33" s="26"/>
      <c r="K33" s="61">
        <v>220000</v>
      </c>
      <c r="L33" s="61">
        <v>29000000</v>
      </c>
      <c r="M33" s="66">
        <v>0.286</v>
      </c>
    </row>
    <row r="34" spans="2:13" ht="12.75">
      <c r="B34" s="3" t="s">
        <v>30</v>
      </c>
      <c r="I34" s="36" t="s">
        <v>110</v>
      </c>
      <c r="J34" s="26"/>
      <c r="K34" s="61">
        <v>70000</v>
      </c>
      <c r="L34" s="61">
        <v>10500000</v>
      </c>
      <c r="M34" s="66">
        <v>0.098</v>
      </c>
    </row>
    <row r="35" spans="2:13" ht="12.75">
      <c r="B35" s="27" t="s">
        <v>127</v>
      </c>
      <c r="C35" s="34"/>
      <c r="D35" s="41">
        <v>19.286</v>
      </c>
      <c r="E35" s="29" t="s">
        <v>9</v>
      </c>
      <c r="I35" s="30" t="s">
        <v>112</v>
      </c>
      <c r="J35" s="38"/>
      <c r="K35" s="63">
        <v>130000</v>
      </c>
      <c r="L35" s="63">
        <v>16000000</v>
      </c>
      <c r="M35" s="65">
        <v>0.16</v>
      </c>
    </row>
    <row r="36" spans="2:9" ht="12.75">
      <c r="B36" s="36" t="s">
        <v>126</v>
      </c>
      <c r="C36" s="26"/>
      <c r="D36" s="11">
        <v>24.75</v>
      </c>
      <c r="E36" s="37" t="s">
        <v>9</v>
      </c>
      <c r="I36" s="67" t="s">
        <v>122</v>
      </c>
    </row>
    <row r="37" spans="2:9" ht="12.75">
      <c r="B37" s="36" t="s">
        <v>133</v>
      </c>
      <c r="C37" s="26"/>
      <c r="D37" s="11">
        <v>0</v>
      </c>
      <c r="E37" s="37" t="s">
        <v>9</v>
      </c>
      <c r="I37" s="3" t="s">
        <v>22</v>
      </c>
    </row>
    <row r="38" spans="2:12" ht="12.75">
      <c r="B38" s="36" t="s">
        <v>32</v>
      </c>
      <c r="C38" s="26"/>
      <c r="D38" s="11">
        <v>3.5</v>
      </c>
      <c r="E38" s="37" t="s">
        <v>9</v>
      </c>
      <c r="I38" s="27" t="s">
        <v>12</v>
      </c>
      <c r="J38" s="34"/>
      <c r="K38" s="28">
        <v>29000000</v>
      </c>
      <c r="L38" s="29" t="s">
        <v>10</v>
      </c>
    </row>
    <row r="39" spans="2:12" ht="12.75">
      <c r="B39" s="36" t="s">
        <v>97</v>
      </c>
      <c r="C39" s="26"/>
      <c r="D39" s="11">
        <v>10.5</v>
      </c>
      <c r="E39" s="37" t="s">
        <v>9</v>
      </c>
      <c r="I39" s="36" t="s">
        <v>15</v>
      </c>
      <c r="J39" s="26"/>
      <c r="K39" s="10">
        <v>220000</v>
      </c>
      <c r="L39" s="37" t="s">
        <v>10</v>
      </c>
    </row>
    <row r="40" spans="2:12" ht="12.75">
      <c r="B40" s="36" t="s">
        <v>95</v>
      </c>
      <c r="C40" s="26"/>
      <c r="D40" s="11">
        <v>1.375</v>
      </c>
      <c r="E40" s="37" t="s">
        <v>9</v>
      </c>
      <c r="I40" s="30" t="s">
        <v>16</v>
      </c>
      <c r="J40" s="38"/>
      <c r="K40" s="31">
        <v>0.286</v>
      </c>
      <c r="L40" s="32" t="s">
        <v>17</v>
      </c>
    </row>
    <row r="41" spans="2:12" ht="12.75">
      <c r="B41" s="36" t="s">
        <v>96</v>
      </c>
      <c r="C41" s="26"/>
      <c r="D41" s="11">
        <v>0.88</v>
      </c>
      <c r="E41" s="37" t="s">
        <v>9</v>
      </c>
      <c r="I41" s="30" t="s">
        <v>94</v>
      </c>
      <c r="J41" s="38"/>
      <c r="K41" s="40">
        <f>2*K40*(AVERAGE(E69:E89)*C69+D39*E69)</f>
        <v>30.053879631518225</v>
      </c>
      <c r="L41" s="32" t="s">
        <v>2</v>
      </c>
    </row>
    <row r="42" spans="2:5" ht="12.75">
      <c r="B42" s="30" t="s">
        <v>128</v>
      </c>
      <c r="C42" s="38"/>
      <c r="D42" s="68">
        <f>(D35^2+D36^2+D37^2)^0.5</f>
        <v>31.376938920168744</v>
      </c>
      <c r="E42" s="32" t="s">
        <v>9</v>
      </c>
    </row>
    <row r="44" ht="12.75">
      <c r="B44" s="3" t="s">
        <v>89</v>
      </c>
    </row>
    <row r="45" spans="2:11" ht="12.75">
      <c r="B45" s="27"/>
      <c r="C45" s="34"/>
      <c r="D45" s="42" t="s">
        <v>74</v>
      </c>
      <c r="E45" s="50" t="s">
        <v>73</v>
      </c>
      <c r="F45" s="27" t="s">
        <v>4</v>
      </c>
      <c r="G45" s="34"/>
      <c r="H45" s="34"/>
      <c r="I45" s="35">
        <f>IF(4.4*(C30/C31)^0.25&lt;7,7,IF(4.4*(C30/C31)^0.25&gt;10,10,4.4*(C30/C31)^0.25))</f>
        <v>9.062975433191319</v>
      </c>
      <c r="J45" s="34" t="s">
        <v>123</v>
      </c>
      <c r="K45" s="29"/>
    </row>
    <row r="46" spans="2:11" ht="12.75">
      <c r="B46" s="36"/>
      <c r="C46" s="26"/>
      <c r="D46" s="43" t="s">
        <v>69</v>
      </c>
      <c r="E46" s="51" t="s">
        <v>69</v>
      </c>
      <c r="F46" s="36" t="s">
        <v>4</v>
      </c>
      <c r="G46" s="26"/>
      <c r="H46" s="26"/>
      <c r="I46" s="33">
        <f>1.2*I45</f>
        <v>10.875570519829582</v>
      </c>
      <c r="J46" s="26" t="s">
        <v>124</v>
      </c>
      <c r="K46" s="37"/>
    </row>
    <row r="47" spans="2:11" ht="12.75">
      <c r="B47" s="30"/>
      <c r="C47" s="38"/>
      <c r="D47" s="48" t="s">
        <v>75</v>
      </c>
      <c r="E47" s="53" t="s">
        <v>75</v>
      </c>
      <c r="F47" s="30" t="s">
        <v>5</v>
      </c>
      <c r="G47" s="38"/>
      <c r="H47" s="38"/>
      <c r="I47" s="39">
        <f>IF(C30&lt;3000,0.25,IF(C30&gt;6000,0.33,0.25+(C30-3000)/3000*0.08))</f>
        <v>0.25</v>
      </c>
      <c r="J47" s="38"/>
      <c r="K47" s="32"/>
    </row>
    <row r="48" spans="2:8" ht="12.75">
      <c r="B48" s="27" t="s">
        <v>78</v>
      </c>
      <c r="C48" s="34"/>
      <c r="D48" s="54">
        <f>M98*M100+M99</f>
        <v>2848.911153686732</v>
      </c>
      <c r="E48" s="54">
        <f>F107*M98+M99</f>
        <v>3044.5010965497286</v>
      </c>
      <c r="F48" s="3" t="s">
        <v>87</v>
      </c>
      <c r="H48" s="14"/>
    </row>
    <row r="49" spans="2:10" ht="12.75">
      <c r="B49" s="36" t="s">
        <v>129</v>
      </c>
      <c r="C49" s="26"/>
      <c r="D49" s="59">
        <f>D48*$I$47</f>
        <v>712.227788421683</v>
      </c>
      <c r="E49" s="59">
        <f>E48*$I$47</f>
        <v>761.1252741374321</v>
      </c>
      <c r="F49" s="27" t="s">
        <v>88</v>
      </c>
      <c r="G49" s="34"/>
      <c r="H49" s="34"/>
      <c r="I49" s="46">
        <f>D48/(2.25*($G$30*$G$32)^0.5*(2+$G$33))</f>
        <v>3.9919043771147718</v>
      </c>
      <c r="J49" s="29" t="str">
        <f>IF(I49&gt;I50,"inches ** Value too high.  Increase tire pressure or use larger tires**","inches")</f>
        <v>inches</v>
      </c>
    </row>
    <row r="50" spans="2:10" ht="12.75">
      <c r="B50" s="36" t="s">
        <v>79</v>
      </c>
      <c r="C50" s="26"/>
      <c r="D50" s="44">
        <f>D48*2/C30</f>
        <v>3.1654568374297023</v>
      </c>
      <c r="E50" s="44">
        <f>E48/C30*2</f>
        <v>3.382778996166365</v>
      </c>
      <c r="F50" s="30" t="s">
        <v>86</v>
      </c>
      <c r="G50" s="38"/>
      <c r="H50" s="38"/>
      <c r="I50" s="47">
        <f>($G$30-$G$31)/2</f>
        <v>4.1875</v>
      </c>
      <c r="J50" s="32" t="s">
        <v>9</v>
      </c>
    </row>
    <row r="51" spans="2:5" ht="12.75">
      <c r="B51" s="36" t="s">
        <v>160</v>
      </c>
      <c r="C51" s="26"/>
      <c r="D51" s="44">
        <f>D50+0.67</f>
        <v>3.8354568374297022</v>
      </c>
      <c r="E51" s="44">
        <f>E50+1</f>
        <v>4.3827789961663655</v>
      </c>
    </row>
    <row r="52" spans="2:5" ht="12.75">
      <c r="B52" s="36" t="s">
        <v>132</v>
      </c>
      <c r="C52" s="26"/>
      <c r="D52" s="44">
        <f>H111</f>
        <v>12.058670967856727</v>
      </c>
      <c r="E52" s="44">
        <f>I111</f>
        <v>12.808084639623743</v>
      </c>
    </row>
    <row r="53" spans="2:5" ht="12.75">
      <c r="B53" s="30" t="s">
        <v>108</v>
      </c>
      <c r="C53" s="32"/>
      <c r="D53" s="45">
        <f>O66</f>
        <v>0.28621618275001937</v>
      </c>
      <c r="E53" s="45">
        <f>P66</f>
        <v>0.20358492668687078</v>
      </c>
    </row>
    <row r="54" spans="2:5" ht="12.75">
      <c r="B54" s="27" t="s">
        <v>91</v>
      </c>
      <c r="C54" s="34"/>
      <c r="D54" s="69">
        <f>IF(I92&lt;9.2,9.2,IF(I92&gt;18.7,18.7,I92))</f>
        <v>15.273506473629425</v>
      </c>
      <c r="E54" s="69">
        <f>1.44*D54</f>
        <v>21.99384932202637</v>
      </c>
    </row>
    <row r="55" spans="2:5" ht="12.75">
      <c r="B55" s="30" t="s">
        <v>159</v>
      </c>
      <c r="C55" s="38"/>
      <c r="D55" s="56">
        <f>$C$30*(D54+(1-2/3)*H111)/(D54+H111)</f>
        <v>1270.5725443058127</v>
      </c>
      <c r="E55" s="56">
        <f>$C$30*E54/(E54+I111)</f>
        <v>1137.5496782239852</v>
      </c>
    </row>
    <row r="56" spans="2:9" ht="12.75">
      <c r="B56" s="27" t="s">
        <v>138</v>
      </c>
      <c r="C56" s="34"/>
      <c r="D56" s="34"/>
      <c r="E56" s="34"/>
      <c r="F56" s="34"/>
      <c r="G56" s="34"/>
      <c r="H56" s="28">
        <v>90</v>
      </c>
      <c r="I56" s="29" t="s">
        <v>137</v>
      </c>
    </row>
    <row r="57" spans="2:9" ht="12.75">
      <c r="B57" s="36" t="s">
        <v>149</v>
      </c>
      <c r="C57" s="26"/>
      <c r="D57" s="26"/>
      <c r="E57" s="26"/>
      <c r="F57" s="26"/>
      <c r="G57" s="26"/>
      <c r="H57" s="71">
        <f>E111</f>
        <v>3.428511089692617</v>
      </c>
      <c r="I57" s="37" t="s">
        <v>9</v>
      </c>
    </row>
    <row r="58" spans="2:9" ht="12.75">
      <c r="B58" s="30" t="s">
        <v>139</v>
      </c>
      <c r="C58" s="38"/>
      <c r="D58" s="38"/>
      <c r="E58" s="38"/>
      <c r="F58" s="38"/>
      <c r="G58" s="38"/>
      <c r="H58" s="72">
        <f>I111-E111</f>
        <v>9.379573549931127</v>
      </c>
      <c r="I58" s="32" t="s">
        <v>9</v>
      </c>
    </row>
    <row r="64" ht="12.75">
      <c r="B64" s="3" t="s">
        <v>77</v>
      </c>
    </row>
    <row r="65" spans="2:14" ht="12.75">
      <c r="B65" s="25" t="s">
        <v>36</v>
      </c>
      <c r="E65" s="1" t="s">
        <v>38</v>
      </c>
      <c r="L65" s="1" t="s">
        <v>147</v>
      </c>
      <c r="N65" s="1">
        <f>(D40-D41)/D42</f>
        <v>0.015775917506147152</v>
      </c>
    </row>
    <row r="66" spans="2:16" ht="12.75">
      <c r="B66" s="7"/>
      <c r="D66" s="2"/>
      <c r="I66" s="1" t="s">
        <v>101</v>
      </c>
      <c r="J66" s="14">
        <f>MAX(J69:J89)</f>
        <v>153.1839107745366</v>
      </c>
      <c r="K66" s="14">
        <f>MAX(K69:K89)</f>
        <v>276495.53205018473</v>
      </c>
      <c r="L66" s="14">
        <f>MAX(L69:L89)</f>
        <v>295478.1336120431</v>
      </c>
      <c r="N66" s="1" t="s">
        <v>143</v>
      </c>
      <c r="O66" s="5">
        <f>MIN(O69:O89)</f>
        <v>0.28621618275001937</v>
      </c>
      <c r="P66" s="5">
        <f>MIN(P69:P89)</f>
        <v>0.20358492668687078</v>
      </c>
    </row>
    <row r="67" spans="2:16" ht="12.75">
      <c r="B67" s="12" t="s">
        <v>18</v>
      </c>
      <c r="C67" s="4"/>
      <c r="D67" s="4" t="s">
        <v>99</v>
      </c>
      <c r="E67" s="4" t="s">
        <v>43</v>
      </c>
      <c r="F67" s="4" t="s">
        <v>20</v>
      </c>
      <c r="G67" s="4" t="s">
        <v>39</v>
      </c>
      <c r="H67" s="12" t="s">
        <v>24</v>
      </c>
      <c r="I67" s="4" t="s">
        <v>103</v>
      </c>
      <c r="K67" s="12" t="s">
        <v>140</v>
      </c>
      <c r="L67" s="12" t="s">
        <v>141</v>
      </c>
      <c r="M67" s="12" t="s">
        <v>140</v>
      </c>
      <c r="N67" s="12" t="s">
        <v>141</v>
      </c>
      <c r="O67" s="12" t="s">
        <v>140</v>
      </c>
      <c r="P67" s="12" t="s">
        <v>141</v>
      </c>
    </row>
    <row r="68" spans="2:16" ht="12.75">
      <c r="B68" s="12"/>
      <c r="C68" s="4" t="s">
        <v>100</v>
      </c>
      <c r="D68" s="4" t="s">
        <v>98</v>
      </c>
      <c r="E68" s="4" t="s">
        <v>44</v>
      </c>
      <c r="F68" s="4" t="s">
        <v>23</v>
      </c>
      <c r="G68" s="4" t="s">
        <v>63</v>
      </c>
      <c r="H68" s="4"/>
      <c r="I68" s="4" t="s">
        <v>24</v>
      </c>
      <c r="J68" s="4" t="s">
        <v>102</v>
      </c>
      <c r="K68" s="12" t="s">
        <v>102</v>
      </c>
      <c r="L68" s="12" t="s">
        <v>102</v>
      </c>
      <c r="M68" s="12" t="s">
        <v>136</v>
      </c>
      <c r="N68" s="12" t="s">
        <v>136</v>
      </c>
      <c r="O68" s="12" t="s">
        <v>142</v>
      </c>
      <c r="P68" s="12" t="s">
        <v>142</v>
      </c>
    </row>
    <row r="69" spans="2:16" s="4" customFormat="1" ht="12.75">
      <c r="B69" s="4">
        <v>1</v>
      </c>
      <c r="C69" s="5">
        <f>C70+$D$42/19</f>
        <v>37.071187920510475</v>
      </c>
      <c r="D69" s="5">
        <f>D40</f>
        <v>1.375</v>
      </c>
      <c r="E69" s="5">
        <f aca="true" t="shared" si="0" ref="E69:E89">PI()*D69^2/4</f>
        <v>1.4848934026733007</v>
      </c>
      <c r="F69" s="13">
        <f aca="true" t="shared" si="1" ref="F69:F89">PI()*D69^4/64</f>
        <v>0.17546103683932557</v>
      </c>
      <c r="G69" s="14">
        <f>C69/F69</f>
        <v>211.27874648579427</v>
      </c>
      <c r="H69" s="14">
        <v>0</v>
      </c>
      <c r="I69" s="14">
        <v>0</v>
      </c>
      <c r="J69" s="14">
        <f>G69*D69/2</f>
        <v>145.25413820898356</v>
      </c>
      <c r="K69" s="14">
        <f>$C$69*COS($I$91)*$D$48*$I$93*C69/$C$69*D69/(2*F69)</f>
        <v>262182.3664346611</v>
      </c>
      <c r="L69" s="14">
        <f>K69*$E$48/$D$48</f>
        <v>280182.30792257993</v>
      </c>
      <c r="M69" s="14">
        <f aca="true" t="shared" si="2" ref="M69:M89">$H$112*D69/(4*F69)</f>
        <v>15408.969527077514</v>
      </c>
      <c r="N69" s="14">
        <f aca="true" t="shared" si="3" ref="N69:N89">M69*$I$112/$H$112</f>
        <v>16466.86122913308</v>
      </c>
      <c r="O69" s="5">
        <f aca="true" t="shared" si="4" ref="O69:O89">1/((K69/$M$104)^2+(M69/$M$106)^2)^0.5-1</f>
        <v>0.3811593981434116</v>
      </c>
      <c r="P69" s="5">
        <f aca="true" t="shared" si="5" ref="P69:P89">1/((L69/$M$104)^2+(N69/$M$106)^2)^0.5-1</f>
        <v>0.2924286408861043</v>
      </c>
    </row>
    <row r="70" spans="2:16" ht="12.75">
      <c r="B70" s="4">
        <f>1+B69</f>
        <v>2</v>
      </c>
      <c r="C70" s="5">
        <f aca="true" t="shared" si="6" ref="C70:C87">C71+$D$42/19</f>
        <v>35.41977008260686</v>
      </c>
      <c r="D70" s="5">
        <f aca="true" t="shared" si="7" ref="D70:D88">D69-$N$65*$D$42/19</f>
        <v>1.3489473684210527</v>
      </c>
      <c r="E70" s="5">
        <f t="shared" si="0"/>
        <v>1.4291568387852556</v>
      </c>
      <c r="F70" s="13">
        <f t="shared" si="1"/>
        <v>0.16253613175412643</v>
      </c>
      <c r="G70" s="14">
        <f aca="true" t="shared" si="8" ref="G70:G89">C70/F70</f>
        <v>217.9193616849912</v>
      </c>
      <c r="H70" s="14">
        <f aca="true" t="shared" si="9" ref="H70:H89">H69+(G70+G69)/2*(C69-C70)</f>
        <v>354.39270591386025</v>
      </c>
      <c r="I70" s="14">
        <f>I69+(H70+H69)/2*(C69-C70)</f>
        <v>292.6252180845394</v>
      </c>
      <c r="J70" s="14">
        <f aca="true" t="shared" si="10" ref="J70:J89">G70*D70/2</f>
        <v>146.98087473648224</v>
      </c>
      <c r="K70" s="14">
        <f aca="true" t="shared" si="11" ref="K70:K89">$C$69*COS($I$91)*$D$48*$I$93*C70/$C$69*D70/(2*F70)</f>
        <v>265299.10978236125</v>
      </c>
      <c r="L70" s="14">
        <f aca="true" t="shared" si="12" ref="L70:L89">K70*$E$48/$D$48</f>
        <v>283513.0290394732</v>
      </c>
      <c r="M70" s="14">
        <f t="shared" si="2"/>
        <v>16319.117713785714</v>
      </c>
      <c r="N70" s="14">
        <f t="shared" si="3"/>
        <v>17439.49498391691</v>
      </c>
      <c r="O70" s="5">
        <f t="shared" si="4"/>
        <v>0.363243784159335</v>
      </c>
      <c r="P70" s="5">
        <f t="shared" si="5"/>
        <v>0.27566399180707335</v>
      </c>
    </row>
    <row r="71" spans="2:16" ht="12.75">
      <c r="B71" s="4">
        <f aca="true" t="shared" si="13" ref="B71:B88">1+B70</f>
        <v>3</v>
      </c>
      <c r="C71" s="5">
        <f t="shared" si="6"/>
        <v>33.768352244703244</v>
      </c>
      <c r="D71" s="5">
        <f t="shared" si="7"/>
        <v>1.3228947368421053</v>
      </c>
      <c r="E71" s="5">
        <f t="shared" si="0"/>
        <v>1.374486436586886</v>
      </c>
      <c r="F71" s="13">
        <f t="shared" si="1"/>
        <v>0.1503387909156981</v>
      </c>
      <c r="G71" s="14">
        <f t="shared" si="8"/>
        <v>224.61503141686646</v>
      </c>
      <c r="H71" s="14">
        <f t="shared" si="9"/>
        <v>719.7973012409893</v>
      </c>
      <c r="I71" s="14">
        <f aca="true" t="shared" si="14" ref="I71:I89">I70+(H71+H70)/2*(C70-C71)</f>
        <v>1179.5934876412048</v>
      </c>
      <c r="J71" s="14">
        <f>G71*D71/2</f>
        <v>148.57102143849838</v>
      </c>
      <c r="K71" s="14">
        <f t="shared" si="11"/>
        <v>268169.3097673905</v>
      </c>
      <c r="L71" s="14">
        <f t="shared" si="12"/>
        <v>286580.2805367445</v>
      </c>
      <c r="M71" s="14">
        <f t="shared" si="2"/>
        <v>17302.379166332244</v>
      </c>
      <c r="N71" s="14">
        <f t="shared" si="3"/>
        <v>18490.261543133438</v>
      </c>
      <c r="O71" s="5">
        <f t="shared" si="4"/>
        <v>0.34673790509276015</v>
      </c>
      <c r="P71" s="5">
        <f t="shared" si="5"/>
        <v>0.26021851109187133</v>
      </c>
    </row>
    <row r="72" spans="2:16" ht="12.75">
      <c r="B72" s="4">
        <f t="shared" si="13"/>
        <v>4</v>
      </c>
      <c r="C72" s="5">
        <f t="shared" si="6"/>
        <v>32.11693440679963</v>
      </c>
      <c r="D72" s="5">
        <f t="shared" si="7"/>
        <v>1.296842105263158</v>
      </c>
      <c r="E72" s="5">
        <f t="shared" si="0"/>
        <v>1.3208821960781925</v>
      </c>
      <c r="F72" s="13">
        <f t="shared" si="1"/>
        <v>0.1388411840983509</v>
      </c>
      <c r="G72" s="14">
        <f t="shared" si="8"/>
        <v>231.32138072266054</v>
      </c>
      <c r="H72" s="14">
        <f t="shared" si="9"/>
        <v>1096.268063219484</v>
      </c>
      <c r="I72" s="14">
        <f t="shared" si="14"/>
        <v>2679.1348564756827</v>
      </c>
      <c r="J72" s="14">
        <f>G72*D72/2</f>
        <v>149.9936531843778</v>
      </c>
      <c r="K72" s="14">
        <f t="shared" si="11"/>
        <v>270737.1468169835</v>
      </c>
      <c r="L72" s="14">
        <f t="shared" si="12"/>
        <v>289324.4105890735</v>
      </c>
      <c r="M72" s="14">
        <f t="shared" si="2"/>
        <v>18366.24541474234</v>
      </c>
      <c r="N72" s="14">
        <f t="shared" si="3"/>
        <v>19627.166762404777</v>
      </c>
      <c r="O72" s="5">
        <f t="shared" si="4"/>
        <v>0.33177759880589486</v>
      </c>
      <c r="P72" s="5">
        <f t="shared" si="5"/>
        <v>0.24621930987906127</v>
      </c>
    </row>
    <row r="73" spans="2:16" ht="12.75">
      <c r="B73" s="4">
        <f t="shared" si="13"/>
        <v>5</v>
      </c>
      <c r="C73" s="5">
        <f t="shared" si="6"/>
        <v>30.46551656889601</v>
      </c>
      <c r="D73" s="5">
        <f t="shared" si="7"/>
        <v>1.2707894736842107</v>
      </c>
      <c r="E73" s="5">
        <f t="shared" si="0"/>
        <v>1.2683441172591745</v>
      </c>
      <c r="F73" s="13">
        <f t="shared" si="1"/>
        <v>0.1280160238110239</v>
      </c>
      <c r="G73" s="14">
        <f t="shared" si="8"/>
        <v>237.9820561671946</v>
      </c>
      <c r="H73" s="14">
        <f t="shared" si="9"/>
        <v>1483.776096754175</v>
      </c>
      <c r="I73" s="14">
        <f t="shared" si="14"/>
        <v>4809.500330655462</v>
      </c>
      <c r="J73" s="14">
        <f t="shared" si="10"/>
        <v>151.21254595149776</v>
      </c>
      <c r="K73" s="14">
        <f>$C$69*COS($I$91)*$D$48*$I$93*C73/$C$69*D73/(2*F73)</f>
        <v>272937.2369077307</v>
      </c>
      <c r="L73" s="14">
        <f t="shared" si="12"/>
        <v>291675.54628002684</v>
      </c>
      <c r="M73" s="14">
        <f t="shared" si="2"/>
        <v>19519.14833337401</v>
      </c>
      <c r="N73" s="14">
        <f t="shared" si="3"/>
        <v>20859.221400348557</v>
      </c>
      <c r="O73" s="5">
        <f t="shared" si="4"/>
        <v>0.3185242052550914</v>
      </c>
      <c r="P73" s="5">
        <f t="shared" si="5"/>
        <v>0.23381736305306933</v>
      </c>
    </row>
    <row r="74" spans="2:16" ht="12.75">
      <c r="B74" s="4">
        <f t="shared" si="13"/>
        <v>6</v>
      </c>
      <c r="C74" s="5">
        <f t="shared" si="6"/>
        <v>28.81409873099239</v>
      </c>
      <c r="D74" s="5">
        <f t="shared" si="7"/>
        <v>1.2447368421052634</v>
      </c>
      <c r="E74" s="5">
        <f t="shared" si="0"/>
        <v>1.2168722001298322</v>
      </c>
      <c r="F74" s="13">
        <f t="shared" si="1"/>
        <v>0.11783656529728502</v>
      </c>
      <c r="G74" s="14">
        <f t="shared" si="8"/>
        <v>244.52595557498208</v>
      </c>
      <c r="H74" s="14">
        <f t="shared" si="9"/>
        <v>1882.1872655153945</v>
      </c>
      <c r="I74" s="14">
        <f t="shared" si="14"/>
        <v>7588.806299746466</v>
      </c>
      <c r="J74" s="14">
        <f t="shared" si="10"/>
        <v>152.18523287758757</v>
      </c>
      <c r="K74" s="14">
        <f t="shared" si="11"/>
        <v>274692.92774880934</v>
      </c>
      <c r="L74" s="14">
        <f t="shared" si="12"/>
        <v>293551.7728109768</v>
      </c>
      <c r="M74" s="14">
        <f t="shared" si="2"/>
        <v>20770.60077772724</v>
      </c>
      <c r="N74" s="14">
        <f t="shared" si="3"/>
        <v>22196.591410705925</v>
      </c>
      <c r="O74" s="5">
        <f t="shared" si="4"/>
        <v>0.3071706014860287</v>
      </c>
      <c r="P74" s="5">
        <f t="shared" si="5"/>
        <v>0.22319315652909144</v>
      </c>
    </row>
    <row r="75" spans="2:16" ht="12.75">
      <c r="B75" s="4">
        <f t="shared" si="13"/>
        <v>7</v>
      </c>
      <c r="C75" s="5">
        <f t="shared" si="6"/>
        <v>27.162680893088773</v>
      </c>
      <c r="D75" s="5">
        <f t="shared" si="7"/>
        <v>1.218684210526316</v>
      </c>
      <c r="E75" s="5">
        <f t="shared" si="0"/>
        <v>1.1664664446901656</v>
      </c>
      <c r="F75" s="13">
        <f t="shared" si="1"/>
        <v>0.1082766065353311</v>
      </c>
      <c r="G75" s="14">
        <f t="shared" si="8"/>
        <v>250.86379932146727</v>
      </c>
      <c r="H75" s="14">
        <f t="shared" si="9"/>
        <v>2291.2350044907434</v>
      </c>
      <c r="I75" s="14">
        <f t="shared" si="14"/>
        <v>11034.838290642641</v>
      </c>
      <c r="J75" s="14">
        <f t="shared" si="10"/>
        <v>152.86187561285726</v>
      </c>
      <c r="K75" s="14">
        <f t="shared" si="11"/>
        <v>275914.2615830895</v>
      </c>
      <c r="L75" s="14">
        <f t="shared" si="12"/>
        <v>294856.9564397844</v>
      </c>
      <c r="M75" s="14">
        <f t="shared" si="2"/>
        <v>22131.36178237125</v>
      </c>
      <c r="N75" s="14">
        <f t="shared" si="3"/>
        <v>23650.7744818135</v>
      </c>
      <c r="O75" s="5">
        <f t="shared" si="4"/>
        <v>0.2979489320987254</v>
      </c>
      <c r="P75" s="5">
        <f t="shared" si="5"/>
        <v>0.21456392108461264</v>
      </c>
    </row>
    <row r="76" spans="2:16" ht="12.75">
      <c r="B76" s="4">
        <f t="shared" si="13"/>
        <v>8</v>
      </c>
      <c r="C76" s="5">
        <f t="shared" si="6"/>
        <v>25.511263055185154</v>
      </c>
      <c r="D76" s="5">
        <f t="shared" si="7"/>
        <v>1.1926315789473687</v>
      </c>
      <c r="E76" s="5">
        <f t="shared" si="0"/>
        <v>1.1171268509401744</v>
      </c>
      <c r="F76" s="13">
        <f t="shared" si="1"/>
        <v>0.09931048823798767</v>
      </c>
      <c r="G76" s="14">
        <f t="shared" si="8"/>
        <v>256.88387508527757</v>
      </c>
      <c r="H76" s="14">
        <f t="shared" si="9"/>
        <v>2710.486787825432</v>
      </c>
      <c r="I76" s="14">
        <f t="shared" si="14"/>
        <v>15164.804584673737</v>
      </c>
      <c r="J76" s="14">
        <f t="shared" si="10"/>
        <v>153.1839107745366</v>
      </c>
      <c r="K76" s="14">
        <f t="shared" si="11"/>
        <v>276495.53205018473</v>
      </c>
      <c r="L76" s="14">
        <f t="shared" si="12"/>
        <v>295478.1336120431</v>
      </c>
      <c r="M76" s="14">
        <f t="shared" si="2"/>
        <v>23613.631252859243</v>
      </c>
      <c r="N76" s="14">
        <f t="shared" si="3"/>
        <v>25234.808094951266</v>
      </c>
      <c r="O76" s="5">
        <f t="shared" si="4"/>
        <v>0.29114056183788084</v>
      </c>
      <c r="P76" s="5">
        <f t="shared" si="5"/>
        <v>0.20819294555876033</v>
      </c>
    </row>
    <row r="77" spans="2:16" ht="12.75">
      <c r="B77" s="4">
        <f t="shared" si="13"/>
        <v>9</v>
      </c>
      <c r="C77" s="5">
        <f t="shared" si="6"/>
        <v>23.859845217281535</v>
      </c>
      <c r="D77" s="5">
        <f t="shared" si="7"/>
        <v>1.1665789473684214</v>
      </c>
      <c r="E77" s="5">
        <f t="shared" si="0"/>
        <v>1.068853418879859</v>
      </c>
      <c r="F77" s="13">
        <f t="shared" si="1"/>
        <v>0.0909130938527093</v>
      </c>
      <c r="G77" s="14">
        <f t="shared" si="8"/>
        <v>262.4467412355089</v>
      </c>
      <c r="H77" s="14">
        <f t="shared" si="9"/>
        <v>3139.3027096062456</v>
      </c>
      <c r="I77" s="14">
        <f t="shared" si="14"/>
        <v>19995.027946693695</v>
      </c>
      <c r="J77" s="14">
        <f t="shared" si="10"/>
        <v>153.08242156539623</v>
      </c>
      <c r="K77" s="14">
        <f t="shared" si="11"/>
        <v>276312.3449730516</v>
      </c>
      <c r="L77" s="14">
        <f t="shared" si="12"/>
        <v>295282.36995809973</v>
      </c>
      <c r="M77" s="14">
        <f t="shared" si="2"/>
        <v>25231.280210328878</v>
      </c>
      <c r="N77" s="14">
        <f t="shared" si="3"/>
        <v>26963.515576220223</v>
      </c>
      <c r="O77" s="5">
        <f t="shared" si="4"/>
        <v>0.28708893295675364</v>
      </c>
      <c r="P77" s="5">
        <f t="shared" si="5"/>
        <v>0.20440160821185516</v>
      </c>
    </row>
    <row r="78" spans="2:16" ht="12.75">
      <c r="B78" s="4">
        <f t="shared" si="13"/>
        <v>10</v>
      </c>
      <c r="C78" s="5">
        <f t="shared" si="6"/>
        <v>22.208427379377916</v>
      </c>
      <c r="D78" s="5">
        <f t="shared" si="7"/>
        <v>1.140526315789474</v>
      </c>
      <c r="E78" s="5">
        <f t="shared" si="0"/>
        <v>1.0216461485092196</v>
      </c>
      <c r="F78" s="13">
        <f t="shared" si="1"/>
        <v>0.08305984956157919</v>
      </c>
      <c r="G78" s="14">
        <f t="shared" si="8"/>
        <v>267.3786130916714</v>
      </c>
      <c r="H78" s="14">
        <f t="shared" si="9"/>
        <v>3576.784230161001</v>
      </c>
      <c r="I78" s="14">
        <f t="shared" si="14"/>
        <v>25540.560833315274</v>
      </c>
      <c r="J78" s="14">
        <f t="shared" si="10"/>
        <v>152.4761722551716</v>
      </c>
      <c r="K78" s="14">
        <f t="shared" si="11"/>
        <v>275218.0706152678</v>
      </c>
      <c r="L78" s="14">
        <f t="shared" si="12"/>
        <v>294112.9689826121</v>
      </c>
      <c r="M78" s="14">
        <f t="shared" si="2"/>
        <v>27000.124062533618</v>
      </c>
      <c r="N78" s="14">
        <f t="shared" si="3"/>
        <v>28853.798128799517</v>
      </c>
      <c r="O78" s="5">
        <f t="shared" si="4"/>
        <v>0.28621618275001937</v>
      </c>
      <c r="P78" s="5">
        <f t="shared" si="5"/>
        <v>0.20358492668687078</v>
      </c>
    </row>
    <row r="79" spans="2:16" ht="12.75">
      <c r="B79" s="4">
        <f t="shared" si="13"/>
        <v>11</v>
      </c>
      <c r="C79" s="5">
        <f t="shared" si="6"/>
        <v>20.557009541474297</v>
      </c>
      <c r="D79" s="5">
        <f t="shared" si="7"/>
        <v>1.1144736842105267</v>
      </c>
      <c r="E79" s="5">
        <f t="shared" si="0"/>
        <v>0.9755050398282555</v>
      </c>
      <c r="F79" s="13">
        <f t="shared" si="1"/>
        <v>0.07572672428130946</v>
      </c>
      <c r="G79" s="14">
        <f t="shared" si="8"/>
        <v>271.46307643136873</v>
      </c>
      <c r="H79" s="14">
        <f t="shared" si="9"/>
        <v>4021.7106191032367</v>
      </c>
      <c r="I79" s="14">
        <f t="shared" si="14"/>
        <v>31814.70580096214</v>
      </c>
      <c r="J79" s="14">
        <f t="shared" si="10"/>
        <v>151.26922745879565</v>
      </c>
      <c r="K79" s="14">
        <f t="shared" si="11"/>
        <v>273039.54650041903</v>
      </c>
      <c r="L79" s="14">
        <f t="shared" si="12"/>
        <v>291784.87986409606</v>
      </c>
      <c r="M79" s="14">
        <f t="shared" si="2"/>
        <v>28938.248162297292</v>
      </c>
      <c r="N79" s="14">
        <f t="shared" si="3"/>
        <v>30924.98274238217</v>
      </c>
      <c r="O79" s="5">
        <f t="shared" si="4"/>
        <v>0.28904451601903114</v>
      </c>
      <c r="P79" s="5">
        <f t="shared" si="5"/>
        <v>0.2062315574289526</v>
      </c>
    </row>
    <row r="80" spans="2:16" ht="12.75">
      <c r="B80" s="4">
        <f t="shared" si="13"/>
        <v>12</v>
      </c>
      <c r="C80" s="5">
        <f t="shared" si="6"/>
        <v>18.90559170357068</v>
      </c>
      <c r="D80" s="5">
        <f t="shared" si="7"/>
        <v>1.0884210526315794</v>
      </c>
      <c r="E80" s="5">
        <f t="shared" si="0"/>
        <v>0.9304300928369672</v>
      </c>
      <c r="F80" s="13">
        <f t="shared" si="1"/>
        <v>0.06889022966324108</v>
      </c>
      <c r="G80" s="14">
        <f t="shared" si="8"/>
        <v>274.4306673963442</v>
      </c>
      <c r="H80" s="14">
        <f t="shared" si="9"/>
        <v>4472.459952181774</v>
      </c>
      <c r="I80" s="14">
        <f t="shared" si="14"/>
        <v>38828.41820077016</v>
      </c>
      <c r="J80" s="14">
        <f t="shared" si="10"/>
        <v>149.3480579409579</v>
      </c>
      <c r="K80" s="14">
        <f t="shared" si="11"/>
        <v>269571.85341628705</v>
      </c>
      <c r="L80" s="14">
        <f t="shared" si="12"/>
        <v>288079.11480944505</v>
      </c>
      <c r="M80" s="14">
        <f t="shared" si="2"/>
        <v>31066.397183238663</v>
      </c>
      <c r="N80" s="14">
        <f t="shared" si="3"/>
        <v>33199.2383012095</v>
      </c>
      <c r="O80" s="5">
        <f t="shared" si="4"/>
        <v>0.2962232851391482</v>
      </c>
      <c r="P80" s="5">
        <f t="shared" si="5"/>
        <v>0.21294913602967003</v>
      </c>
    </row>
    <row r="81" spans="2:16" ht="12.75">
      <c r="B81" s="4">
        <f t="shared" si="13"/>
        <v>13</v>
      </c>
      <c r="C81" s="5">
        <f t="shared" si="6"/>
        <v>17.25417386566706</v>
      </c>
      <c r="D81" s="5">
        <f t="shared" si="7"/>
        <v>1.062368421052632</v>
      </c>
      <c r="E81" s="5">
        <f t="shared" si="0"/>
        <v>0.8864213075353546</v>
      </c>
      <c r="F81" s="13">
        <f t="shared" si="1"/>
        <v>0.06252742009334387</v>
      </c>
      <c r="G81" s="14">
        <f t="shared" si="8"/>
        <v>275.94571853291274</v>
      </c>
      <c r="H81" s="14">
        <f t="shared" si="9"/>
        <v>4926.910642824024</v>
      </c>
      <c r="I81" s="14">
        <f t="shared" si="14"/>
        <v>46589.562333599824</v>
      </c>
      <c r="J81" s="14">
        <f t="shared" si="10"/>
        <v>146.57800864702227</v>
      </c>
      <c r="K81" s="14">
        <f t="shared" si="11"/>
        <v>264571.9402435566</v>
      </c>
      <c r="L81" s="14">
        <f t="shared" si="12"/>
        <v>282735.93619984447</v>
      </c>
      <c r="M81" s="14">
        <f t="shared" si="2"/>
        <v>33408.44273818885</v>
      </c>
      <c r="N81" s="14">
        <f t="shared" si="3"/>
        <v>35702.075306494124</v>
      </c>
      <c r="O81" s="5">
        <f t="shared" si="4"/>
        <v>0.30856210995476685</v>
      </c>
      <c r="P81" s="5">
        <f t="shared" si="5"/>
        <v>0.22449526937823117</v>
      </c>
    </row>
    <row r="82" spans="2:16" ht="12.75">
      <c r="B82" s="4">
        <f t="shared" si="13"/>
        <v>14</v>
      </c>
      <c r="C82" s="5">
        <f t="shared" si="6"/>
        <v>15.60275602776344</v>
      </c>
      <c r="D82" s="5">
        <f t="shared" si="7"/>
        <v>1.0363157894736847</v>
      </c>
      <c r="E82" s="5">
        <f t="shared" si="0"/>
        <v>0.8434786839234175</v>
      </c>
      <c r="F82" s="13">
        <f t="shared" si="1"/>
        <v>0.0566158926922164</v>
      </c>
      <c r="G82" s="14">
        <f t="shared" si="8"/>
        <v>275.58968490677034</v>
      </c>
      <c r="H82" s="14">
        <f t="shared" si="9"/>
        <v>5382.318344561854</v>
      </c>
      <c r="I82" s="14">
        <f t="shared" si="14"/>
        <v>55101.984656000874</v>
      </c>
      <c r="J82" s="14">
        <f t="shared" si="10"/>
        <v>142.79897094248187</v>
      </c>
      <c r="K82" s="14">
        <f t="shared" si="11"/>
        <v>257750.8123883439</v>
      </c>
      <c r="L82" s="14">
        <f t="shared" si="12"/>
        <v>275446.5087257631</v>
      </c>
      <c r="M82" s="14">
        <f t="shared" si="2"/>
        <v>35991.94738172318</v>
      </c>
      <c r="N82" s="14">
        <f t="shared" si="3"/>
        <v>38462.94860013931</v>
      </c>
      <c r="O82" s="5">
        <f t="shared" si="4"/>
        <v>0.32706814712100507</v>
      </c>
      <c r="P82" s="5">
        <f t="shared" si="5"/>
        <v>0.24181241068364434</v>
      </c>
    </row>
    <row r="83" spans="2:16" ht="12.75">
      <c r="B83" s="4">
        <f t="shared" si="13"/>
        <v>15</v>
      </c>
      <c r="C83" s="5">
        <f t="shared" si="6"/>
        <v>13.951338189859822</v>
      </c>
      <c r="D83" s="5">
        <f t="shared" si="7"/>
        <v>1.0102631578947374</v>
      </c>
      <c r="E83" s="5">
        <f t="shared" si="0"/>
        <v>0.8016022220011563</v>
      </c>
      <c r="F83" s="13">
        <f t="shared" si="1"/>
        <v>0.0511337873150862</v>
      </c>
      <c r="G83" s="14">
        <f t="shared" si="8"/>
        <v>272.8399151013738</v>
      </c>
      <c r="H83" s="14">
        <f t="shared" si="9"/>
        <v>5835.161556705752</v>
      </c>
      <c r="I83" s="14">
        <f t="shared" si="14"/>
        <v>64364.3578586402</v>
      </c>
      <c r="J83" s="14">
        <f t="shared" si="10"/>
        <v>137.82005711502296</v>
      </c>
      <c r="K83" s="14">
        <f t="shared" si="11"/>
        <v>248763.91930802888</v>
      </c>
      <c r="L83" s="14">
        <f t="shared" si="12"/>
        <v>265842.626975296</v>
      </c>
      <c r="M83" s="14">
        <f t="shared" si="2"/>
        <v>38848.84793491206</v>
      </c>
      <c r="N83" s="14">
        <f t="shared" si="3"/>
        <v>41515.98760265834</v>
      </c>
      <c r="O83" s="5">
        <f t="shared" si="4"/>
        <v>0.35297919051058146</v>
      </c>
      <c r="P83" s="5">
        <f t="shared" si="5"/>
        <v>0.26605883338977554</v>
      </c>
    </row>
    <row r="84" spans="2:16" ht="12.75">
      <c r="B84" s="4">
        <f t="shared" si="13"/>
        <v>16</v>
      </c>
      <c r="C84" s="5">
        <f t="shared" si="6"/>
        <v>12.299920351956203</v>
      </c>
      <c r="D84" s="5">
        <f t="shared" si="7"/>
        <v>0.9842105263157901</v>
      </c>
      <c r="E84" s="5">
        <f t="shared" si="0"/>
        <v>0.7607919217685707</v>
      </c>
      <c r="F84" s="13">
        <f t="shared" si="1"/>
        <v>0.04605978655180953</v>
      </c>
      <c r="G84" s="14">
        <f t="shared" si="8"/>
        <v>267.04249569460893</v>
      </c>
      <c r="H84" s="14">
        <f t="shared" si="9"/>
        <v>6280.9472784852</v>
      </c>
      <c r="I84" s="14">
        <f t="shared" si="14"/>
        <v>74368.73698684819</v>
      </c>
      <c r="J84" s="14">
        <f t="shared" si="10"/>
        <v>131.4130176181366</v>
      </c>
      <c r="K84" s="14">
        <f t="shared" si="11"/>
        <v>237199.27269729218</v>
      </c>
      <c r="L84" s="14">
        <f t="shared" si="12"/>
        <v>253484.01788282394</v>
      </c>
      <c r="M84" s="14">
        <f t="shared" si="2"/>
        <v>42016.28729988697</v>
      </c>
      <c r="N84" s="14">
        <f t="shared" si="3"/>
        <v>44900.88523537029</v>
      </c>
      <c r="O84" s="5">
        <f t="shared" si="4"/>
        <v>0.3877670747442612</v>
      </c>
      <c r="P84" s="5">
        <f t="shared" si="5"/>
        <v>0.2986118160504845</v>
      </c>
    </row>
    <row r="85" spans="2:16" ht="12.75">
      <c r="B85" s="4">
        <f t="shared" si="13"/>
        <v>17</v>
      </c>
      <c r="C85" s="5">
        <f t="shared" si="6"/>
        <v>10.648502514052584</v>
      </c>
      <c r="D85" s="5">
        <f t="shared" si="7"/>
        <v>0.9581578947368428</v>
      </c>
      <c r="E85" s="5">
        <f t="shared" si="0"/>
        <v>0.7210477832256608</v>
      </c>
      <c r="F85" s="13">
        <f t="shared" si="1"/>
        <v>0.041373115726871516</v>
      </c>
      <c r="G85" s="14">
        <f t="shared" si="8"/>
        <v>257.37734098513795</v>
      </c>
      <c r="H85" s="14">
        <f t="shared" si="9"/>
        <v>6713.965414906917</v>
      </c>
      <c r="I85" s="14">
        <f t="shared" si="14"/>
        <v>85098.75229878214</v>
      </c>
      <c r="J85" s="14">
        <f t="shared" si="10"/>
        <v>123.30406559564315</v>
      </c>
      <c r="K85" s="14">
        <f t="shared" si="11"/>
        <v>222562.6898310357</v>
      </c>
      <c r="L85" s="14">
        <f t="shared" si="12"/>
        <v>237842.57096427295</v>
      </c>
      <c r="M85" s="14">
        <f t="shared" si="2"/>
        <v>45537.63207398505</v>
      </c>
      <c r="N85" s="14">
        <f t="shared" si="3"/>
        <v>48663.985398110606</v>
      </c>
      <c r="O85" s="5">
        <f t="shared" si="4"/>
        <v>0.43304145627979507</v>
      </c>
      <c r="P85" s="5">
        <f t="shared" si="5"/>
        <v>0.34097760487513784</v>
      </c>
    </row>
    <row r="86" spans="2:16" ht="12.75">
      <c r="B86" s="4">
        <f t="shared" si="13"/>
        <v>18</v>
      </c>
      <c r="C86" s="5">
        <f t="shared" si="6"/>
        <v>8.997084676148965</v>
      </c>
      <c r="D86" s="5">
        <f t="shared" si="7"/>
        <v>0.9321052631578954</v>
      </c>
      <c r="E86" s="5">
        <f t="shared" si="0"/>
        <v>0.6823698063724265</v>
      </c>
      <c r="F86" s="13">
        <f t="shared" si="1"/>
        <v>0.03705354289938614</v>
      </c>
      <c r="G86" s="14">
        <f t="shared" si="8"/>
        <v>242.8130745980034</v>
      </c>
      <c r="H86" s="14">
        <f t="shared" si="9"/>
        <v>7126.977102228129</v>
      </c>
      <c r="I86" s="14">
        <f t="shared" si="14"/>
        <v>96527.34198187986</v>
      </c>
      <c r="J86" s="14">
        <f t="shared" si="10"/>
        <v>113.16367239817482</v>
      </c>
      <c r="K86" s="14">
        <f t="shared" si="11"/>
        <v>204259.37456668782</v>
      </c>
      <c r="L86" s="14">
        <f t="shared" si="12"/>
        <v>218282.65477640225</v>
      </c>
      <c r="M86" s="14">
        <f t="shared" si="2"/>
        <v>49463.72398703672</v>
      </c>
      <c r="N86" s="14">
        <f t="shared" si="3"/>
        <v>52859.620323044175</v>
      </c>
      <c r="O86" s="5">
        <f t="shared" si="4"/>
        <v>0.49017318824277556</v>
      </c>
      <c r="P86" s="5">
        <f t="shared" si="5"/>
        <v>0.39443898434490765</v>
      </c>
    </row>
    <row r="87" spans="2:16" ht="12.75">
      <c r="B87" s="4">
        <f t="shared" si="13"/>
        <v>19</v>
      </c>
      <c r="C87" s="5">
        <f t="shared" si="6"/>
        <v>7.345666838245347</v>
      </c>
      <c r="D87" s="5">
        <f t="shared" si="7"/>
        <v>0.9060526315789481</v>
      </c>
      <c r="E87" s="5">
        <f t="shared" si="0"/>
        <v>0.644757991208868</v>
      </c>
      <c r="F87" s="13">
        <f t="shared" si="1"/>
        <v>0.03308137886309619</v>
      </c>
      <c r="G87" s="14">
        <f t="shared" si="8"/>
        <v>222.04838766378563</v>
      </c>
      <c r="H87" s="14">
        <f t="shared" si="9"/>
        <v>7510.817357694668</v>
      </c>
      <c r="I87" s="14">
        <f t="shared" si="14"/>
        <v>108613.89942122149</v>
      </c>
      <c r="J87" s="14">
        <f t="shared" si="10"/>
        <v>100.5937629903177</v>
      </c>
      <c r="K87" s="14">
        <f t="shared" si="11"/>
        <v>181570.80517336866</v>
      </c>
      <c r="L87" s="14">
        <f t="shared" si="12"/>
        <v>194036.41799653094</v>
      </c>
      <c r="M87" s="14">
        <f t="shared" si="2"/>
        <v>53854.42738291885</v>
      </c>
      <c r="N87" s="14">
        <f t="shared" si="3"/>
        <v>57551.76429744965</v>
      </c>
      <c r="O87" s="5">
        <f t="shared" si="4"/>
        <v>0.5591967996566969</v>
      </c>
      <c r="P87" s="5">
        <f t="shared" si="5"/>
        <v>0.4590282652118811</v>
      </c>
    </row>
    <row r="88" spans="2:16" ht="12.75">
      <c r="B88" s="4">
        <f t="shared" si="13"/>
        <v>20</v>
      </c>
      <c r="C88" s="5">
        <f>D38*D42/D35</f>
        <v>5.694249000341729</v>
      </c>
      <c r="D88" s="5">
        <f t="shared" si="7"/>
        <v>0.8800000000000008</v>
      </c>
      <c r="E88" s="5">
        <f t="shared" si="0"/>
        <v>0.6082123377349851</v>
      </c>
      <c r="F88" s="13">
        <f t="shared" si="1"/>
        <v>0.029437477146373334</v>
      </c>
      <c r="G88" s="14">
        <f t="shared" si="8"/>
        <v>193.43536037507394</v>
      </c>
      <c r="H88" s="14">
        <f t="shared" si="9"/>
        <v>7853.885994129881</v>
      </c>
      <c r="I88" s="14">
        <f t="shared" si="14"/>
        <v>121300.67201587177</v>
      </c>
      <c r="J88" s="14">
        <f t="shared" si="10"/>
        <v>85.11155856503261</v>
      </c>
      <c r="K88" s="14">
        <f t="shared" si="11"/>
        <v>153625.57040142486</v>
      </c>
      <c r="L88" s="14">
        <f t="shared" si="12"/>
        <v>164172.623263437</v>
      </c>
      <c r="M88" s="14">
        <f t="shared" si="2"/>
        <v>58780.55392104138</v>
      </c>
      <c r="N88" s="14">
        <f t="shared" si="3"/>
        <v>62816.09050420011</v>
      </c>
      <c r="O88" s="5">
        <f t="shared" si="4"/>
        <v>0.6360427755866229</v>
      </c>
      <c r="P88" s="5">
        <f t="shared" si="5"/>
        <v>0.5309373731411948</v>
      </c>
    </row>
    <row r="89" spans="2:16" ht="12.75">
      <c r="B89" s="4">
        <v>21</v>
      </c>
      <c r="C89" s="4">
        <v>0</v>
      </c>
      <c r="D89" s="5">
        <f>D41</f>
        <v>0.88</v>
      </c>
      <c r="E89" s="5">
        <f t="shared" si="0"/>
        <v>0.608212337734984</v>
      </c>
      <c r="F89" s="13">
        <f t="shared" si="1"/>
        <v>0.029437477146373223</v>
      </c>
      <c r="G89" s="4">
        <f t="shared" si="8"/>
        <v>0</v>
      </c>
      <c r="H89" s="14">
        <f t="shared" si="9"/>
        <v>8404.620547853134</v>
      </c>
      <c r="I89" s="14">
        <f t="shared" si="14"/>
        <v>167590.66432773988</v>
      </c>
      <c r="J89" s="14">
        <f t="shared" si="10"/>
        <v>0</v>
      </c>
      <c r="K89" s="14">
        <f t="shared" si="11"/>
        <v>0</v>
      </c>
      <c r="L89" s="14">
        <f t="shared" si="12"/>
        <v>0</v>
      </c>
      <c r="M89" s="14">
        <f t="shared" si="2"/>
        <v>58780.553921041545</v>
      </c>
      <c r="N89" s="14">
        <f t="shared" si="3"/>
        <v>62816.090504200285</v>
      </c>
      <c r="O89" s="5">
        <f t="shared" si="4"/>
        <v>1.2456406276353285</v>
      </c>
      <c r="P89" s="5">
        <f t="shared" si="5"/>
        <v>1.1013724181254743</v>
      </c>
    </row>
    <row r="90" spans="2:7" ht="12.75">
      <c r="B90" s="1" t="s">
        <v>64</v>
      </c>
      <c r="E90" s="5"/>
      <c r="F90" s="5"/>
      <c r="G90" s="5"/>
    </row>
    <row r="91" spans="6:14" ht="12.75">
      <c r="F91" s="1" t="s">
        <v>57</v>
      </c>
      <c r="I91" s="20">
        <f>ACOS(M91/D42)</f>
        <v>0.9088475028775233</v>
      </c>
      <c r="J91" s="1" t="s">
        <v>58</v>
      </c>
      <c r="K91" s="1" t="s">
        <v>131</v>
      </c>
      <c r="M91" s="2">
        <f>(D35^2+D37^2)^0.5</f>
        <v>19.286</v>
      </c>
      <c r="N91" s="1" t="s">
        <v>9</v>
      </c>
    </row>
    <row r="92" spans="2:14" ht="12.75">
      <c r="B92" s="1" t="s">
        <v>42</v>
      </c>
      <c r="D92" s="15">
        <f>I89</f>
        <v>167590.66432773988</v>
      </c>
      <c r="F92" s="1" t="s">
        <v>90</v>
      </c>
      <c r="I92" s="6">
        <f>3.6*(C30/C31)^0.5</f>
        <v>15.273506473629425</v>
      </c>
      <c r="J92" s="1" t="s">
        <v>9</v>
      </c>
      <c r="K92" s="1" t="s">
        <v>134</v>
      </c>
      <c r="M92" s="2">
        <f>ATAN(D36/D35)</f>
        <v>0.9088475028775233</v>
      </c>
      <c r="N92" s="1" t="s">
        <v>58</v>
      </c>
    </row>
    <row r="93" spans="2:14" ht="12.75">
      <c r="B93" s="1" t="s">
        <v>157</v>
      </c>
      <c r="D93" s="15">
        <f>C69*D39/(3*F69)</f>
        <v>739.4756127002798</v>
      </c>
      <c r="F93" s="1" t="s">
        <v>40</v>
      </c>
      <c r="I93" s="2">
        <f>(1+I47^2)^0.5</f>
        <v>1.0307764064044151</v>
      </c>
      <c r="K93" s="1" t="s">
        <v>135</v>
      </c>
      <c r="M93" s="2">
        <f>ATAN(D37/D36)</f>
        <v>0</v>
      </c>
      <c r="N93" s="1" t="s">
        <v>58</v>
      </c>
    </row>
    <row r="95" spans="2:9" ht="12.75">
      <c r="B95" s="16" t="s">
        <v>72</v>
      </c>
      <c r="H95" s="1" t="s">
        <v>105</v>
      </c>
      <c r="I95" s="1" t="s">
        <v>106</v>
      </c>
    </row>
    <row r="96" spans="2:13" ht="12.75">
      <c r="B96" s="7" t="s">
        <v>60</v>
      </c>
      <c r="E96" s="4">
        <f>H56/100</f>
        <v>0.9</v>
      </c>
      <c r="F96" s="4">
        <v>3</v>
      </c>
      <c r="G96" s="4">
        <v>5</v>
      </c>
      <c r="H96" s="17">
        <f>D50</f>
        <v>3.1654568374297023</v>
      </c>
      <c r="I96" s="17">
        <f>E50</f>
        <v>3.382778996166365</v>
      </c>
      <c r="J96" s="1" t="s">
        <v>62</v>
      </c>
      <c r="M96" s="19">
        <f>(G97-F97)/(G106-F106)</f>
        <v>1.0907112500013945</v>
      </c>
    </row>
    <row r="97" spans="2:13" ht="12.75">
      <c r="B97" s="7" t="s">
        <v>61</v>
      </c>
      <c r="E97" s="14">
        <f>$C$30/2*E96</f>
        <v>810</v>
      </c>
      <c r="F97" s="14">
        <f>$C$30/2*F96</f>
        <v>2700</v>
      </c>
      <c r="G97" s="14">
        <f>$C$30/2*G96</f>
        <v>4500</v>
      </c>
      <c r="H97" s="14">
        <f>$C$30/2*H96</f>
        <v>2848.911153686732</v>
      </c>
      <c r="I97" s="14">
        <f>$C$30/2*I96</f>
        <v>3044.5010965497286</v>
      </c>
      <c r="J97" s="1" t="s">
        <v>66</v>
      </c>
      <c r="M97" s="19">
        <f>G97-M96*G106</f>
        <v>-16063.64400784923</v>
      </c>
    </row>
    <row r="98" spans="2:13" ht="12.75">
      <c r="B98" s="7" t="s">
        <v>45</v>
      </c>
      <c r="E98" s="5">
        <f>IF(E97/(2.25*($G$30*$G$32)^0.5*(2+$G$33))&gt;($G$30-$G$31)/2,($G$30-$G$31)/2,E97/(2.25*($G$30*$G$32)^0.5*(2+$G$33)))</f>
        <v>1.1349748626869662</v>
      </c>
      <c r="F98" s="5">
        <f>IF(F97/(2.25*($G$30*$G$32)^0.5*(2+$G$33))&gt;($G$30-$G$31)/2,($G$30-$G$31)/2,F97/(2.25*($G$30*$G$32)^0.5*(2+$G$33)))</f>
        <v>3.7832495422898873</v>
      </c>
      <c r="G98" s="5">
        <f>IF(G97/(2.25*($G$30*$G$32)^0.5*(2+$G$33))&gt;($G$30-$G$31)/2,($G$30-$G$31)/2,G97/(2.25*($G$30*$G$32)^0.5*(2+$G$33)))</f>
        <v>4.1875</v>
      </c>
      <c r="H98" s="5">
        <f>IF(H97/(2.25*($G$30*$G$32)^0.5*(2+$G$33))&gt;($G$30-$G$31)/2,($G$30-$G$31)/2,H97/(2.25*($G$30*$G$32)^0.5*(2+$G$33)))</f>
        <v>3.9919043771147718</v>
      </c>
      <c r="I98" s="5">
        <f>IF(I97/(2.25*($G$30*$G$32)^0.5*(2+$G$33))&gt;($G$30-$G$31)/2,($G$30-$G$31)/2,I97/(2.25*($G$30*$G$32)^0.5*(2+$G$33)))</f>
        <v>4.1875</v>
      </c>
      <c r="J98" s="21" t="s">
        <v>67</v>
      </c>
      <c r="K98" s="18"/>
      <c r="M98" s="77">
        <f>(G97-F97)/(G110-F110)</f>
        <v>0.0783678482504706</v>
      </c>
    </row>
    <row r="99" spans="2:13" ht="12.75">
      <c r="B99" s="7" t="s">
        <v>50</v>
      </c>
      <c r="E99" s="14">
        <f>E97*$I$93*COS($I$91)</f>
        <v>513.1934188303223</v>
      </c>
      <c r="F99" s="14">
        <f>F97*$I$93*COS($I$91)</f>
        <v>1710.6447294344077</v>
      </c>
      <c r="G99" s="14">
        <f>G97*$I$93*COS($I$91)</f>
        <v>2851.0745490573463</v>
      </c>
      <c r="H99" s="14">
        <f>H97*$I$93*COS($I$91)</f>
        <v>1804.9906850670764</v>
      </c>
      <c r="I99" s="14">
        <f>I97*$I$93*COS($I$91)</f>
        <v>1928.9110202111365</v>
      </c>
      <c r="J99" s="21" t="s">
        <v>68</v>
      </c>
      <c r="M99" s="24">
        <f>G97-M98*G110</f>
        <v>1490.0398181925675</v>
      </c>
    </row>
    <row r="100" spans="2:14" ht="12.75">
      <c r="B100" s="7" t="s">
        <v>48</v>
      </c>
      <c r="E100" s="17">
        <f>$D$92*E99/$K$38</f>
        <v>2.965738827255096</v>
      </c>
      <c r="F100" s="17">
        <f>$D$92*F99/$K$38</f>
        <v>9.885796090850318</v>
      </c>
      <c r="G100" s="17">
        <f>$D$92*G99/$K$38</f>
        <v>16.476326818083866</v>
      </c>
      <c r="H100" s="17">
        <f>$D$92*H99/$K$38</f>
        <v>10.431020276405988</v>
      </c>
      <c r="I100" s="17">
        <f>$D$92*I99/$K$38</f>
        <v>11.14715445883734</v>
      </c>
      <c r="J100" s="8" t="s">
        <v>71</v>
      </c>
      <c r="M100" s="15">
        <f>(M99-M97)/(M96-M98)</f>
        <v>17339.653516466235</v>
      </c>
      <c r="N100" s="1" t="s">
        <v>70</v>
      </c>
    </row>
    <row r="101" spans="2:13" ht="12.75">
      <c r="B101" s="7" t="s">
        <v>158</v>
      </c>
      <c r="E101" s="17">
        <f>E97/$K$38*$D$93*$C$69</f>
        <v>0.7656801349947525</v>
      </c>
      <c r="F101" s="17">
        <f>F97/$K$38*$D$93*$C$69</f>
        <v>2.5522671166491753</v>
      </c>
      <c r="G101" s="17">
        <f>G97/$K$38*$D$93*$C$69</f>
        <v>4.253778527748626</v>
      </c>
      <c r="H101" s="17">
        <f>H97/$K$38*$D$93*$C$69</f>
        <v>2.693030465114708</v>
      </c>
      <c r="I101" s="17">
        <f>I97/$K$38*$D$93*$C$69</f>
        <v>2.877918531602307</v>
      </c>
      <c r="J101" s="8"/>
      <c r="M101" s="15"/>
    </row>
    <row r="102" spans="2:9" ht="12.75">
      <c r="B102" s="7" t="s">
        <v>51</v>
      </c>
      <c r="E102" s="17">
        <f>E100+E101</f>
        <v>3.7314189622498484</v>
      </c>
      <c r="F102" s="17">
        <f>F100+F101</f>
        <v>12.438063207499493</v>
      </c>
      <c r="G102" s="17">
        <f>G100+G101</f>
        <v>20.73010534583249</v>
      </c>
      <c r="H102" s="17">
        <f>H100+H101</f>
        <v>13.124050741520696</v>
      </c>
      <c r="I102" s="17">
        <f>I100+I101</f>
        <v>14.025072990439647</v>
      </c>
    </row>
    <row r="103" spans="2:9" ht="12.75">
      <c r="B103" s="7" t="s">
        <v>52</v>
      </c>
      <c r="E103" s="17">
        <f>$I$45</f>
        <v>9.062975433191319</v>
      </c>
      <c r="F103" s="17">
        <f>$I$45</f>
        <v>9.062975433191319</v>
      </c>
      <c r="G103" s="17">
        <f>$I$45</f>
        <v>9.062975433191319</v>
      </c>
      <c r="H103" s="17">
        <f>$I$45</f>
        <v>9.062975433191319</v>
      </c>
      <c r="I103" s="17">
        <f>$I$45</f>
        <v>9.062975433191319</v>
      </c>
    </row>
    <row r="104" spans="2:14" ht="12.75">
      <c r="B104" s="7" t="s">
        <v>54</v>
      </c>
      <c r="E104" s="14">
        <f>$C$30/64.4*E103^2*6</f>
        <v>13774.615776217348</v>
      </c>
      <c r="F104" s="14">
        <f>$C$30/64.4*F103^2*6</f>
        <v>13774.615776217348</v>
      </c>
      <c r="G104" s="14">
        <f>$C$30/64.4*G103^2*6</f>
        <v>13774.615776217348</v>
      </c>
      <c r="H104" s="14">
        <f>$C$30/64.4*H103^2*6</f>
        <v>13774.615776217348</v>
      </c>
      <c r="I104" s="14">
        <f>$C$30/64.4*I103^2*6</f>
        <v>13774.615776217348</v>
      </c>
      <c r="J104" s="1" t="s">
        <v>80</v>
      </c>
      <c r="M104" s="1">
        <f>K39+M105*0.7</f>
        <v>366916</v>
      </c>
      <c r="N104" s="1" t="s">
        <v>10</v>
      </c>
    </row>
    <row r="105" spans="2:14" ht="12.75">
      <c r="B105" s="7" t="s">
        <v>55</v>
      </c>
      <c r="E105" s="14">
        <f>$C$30/6*(E98+(E102)*COS($I$91))</f>
        <v>1028.553326907785</v>
      </c>
      <c r="F105" s="14">
        <f>$C$30/6*(F98+(F102)*COS($I$91))</f>
        <v>3428.5110896926176</v>
      </c>
      <c r="G105" s="14">
        <f>$C$30/6*(G98+(G102)*COS($I$91))</f>
        <v>5078.810378342752</v>
      </c>
      <c r="H105" s="14">
        <f>$C$30/6*(H98+(H102)*COS($I$91))</f>
        <v>3617.601290357018</v>
      </c>
      <c r="I105" s="14">
        <f>$C$30/6*(I98+(I102)*COS($I$91))</f>
        <v>3842.425391887123</v>
      </c>
      <c r="J105" s="1" t="s">
        <v>13</v>
      </c>
      <c r="M105" s="1">
        <f>0.954*K39</f>
        <v>209880</v>
      </c>
      <c r="N105" s="1" t="s">
        <v>14</v>
      </c>
    </row>
    <row r="106" spans="2:14" ht="12.75">
      <c r="B106" s="7" t="s">
        <v>59</v>
      </c>
      <c r="E106" s="14">
        <f>E104+E105</f>
        <v>14803.169103125132</v>
      </c>
      <c r="F106" s="14">
        <f>F104+F105</f>
        <v>17203.126865909966</v>
      </c>
      <c r="G106" s="14">
        <f>G104+G105</f>
        <v>18853.4261545601</v>
      </c>
      <c r="H106" s="14">
        <f>H104+H105</f>
        <v>17392.217066574365</v>
      </c>
      <c r="I106" s="14">
        <f>I104+I105</f>
        <v>17617.04116810447</v>
      </c>
      <c r="J106" s="7" t="s">
        <v>104</v>
      </c>
      <c r="M106" s="7">
        <f>0.6*K39</f>
        <v>132000</v>
      </c>
      <c r="N106" s="1" t="s">
        <v>14</v>
      </c>
    </row>
    <row r="107" spans="2:13" ht="12.75">
      <c r="B107" s="7" t="s">
        <v>161</v>
      </c>
      <c r="E107" s="14">
        <f>1.44*E104</f>
        <v>19835.44671775298</v>
      </c>
      <c r="F107" s="14">
        <f>1.44*F104</f>
        <v>19835.44671775298</v>
      </c>
      <c r="G107" s="14">
        <f>1.44*G104</f>
        <v>19835.44671775298</v>
      </c>
      <c r="H107" s="14">
        <f>1.44*H104</f>
        <v>19835.44671775298</v>
      </c>
      <c r="I107" s="14">
        <f>1.44*I104</f>
        <v>19835.44671775298</v>
      </c>
      <c r="M107" s="7"/>
    </row>
    <row r="108" spans="2:15" ht="12.75">
      <c r="B108" s="7" t="s">
        <v>46</v>
      </c>
      <c r="E108" s="14">
        <f>0.47*E98*E97</f>
        <v>432.08493022492803</v>
      </c>
      <c r="F108" s="14">
        <f>0.47*F98*F97</f>
        <v>4800.943669165867</v>
      </c>
      <c r="G108" s="14">
        <f>0.47*G98*G97</f>
        <v>8856.5625</v>
      </c>
      <c r="H108" s="14">
        <f>0.47*H98*H97</f>
        <v>5345.113025074184</v>
      </c>
      <c r="I108" s="14">
        <f>0.47*I98*I97</f>
        <v>5991.958720646934</v>
      </c>
      <c r="J108" s="4"/>
      <c r="K108" s="4"/>
      <c r="L108" s="4"/>
      <c r="M108" s="4"/>
      <c r="N108" s="12"/>
      <c r="O108" s="12"/>
    </row>
    <row r="109" spans="2:15" ht="12.75">
      <c r="B109" s="7" t="s">
        <v>49</v>
      </c>
      <c r="E109" s="14">
        <f>E99*E102/2</f>
        <v>957.4698271626467</v>
      </c>
      <c r="F109" s="14">
        <f>F99*F102/2</f>
        <v>10638.553635140515</v>
      </c>
      <c r="G109" s="14">
        <f>G99*G102/2</f>
        <v>29551.537875390328</v>
      </c>
      <c r="H109" s="14">
        <f>H99*H102/2</f>
        <v>11844.394669396257</v>
      </c>
      <c r="I109" s="14">
        <f>I99*I102/2</f>
        <v>13526.558925262296</v>
      </c>
      <c r="J109" s="4"/>
      <c r="K109" s="4"/>
      <c r="L109" s="23"/>
      <c r="M109" s="4"/>
      <c r="N109" s="12"/>
      <c r="O109" s="4"/>
    </row>
    <row r="110" spans="2:15" ht="12.75">
      <c r="B110" s="7" t="s">
        <v>56</v>
      </c>
      <c r="E110" s="14">
        <f>E109+E108</f>
        <v>1389.5547573875747</v>
      </c>
      <c r="F110" s="14">
        <f>F109+F108</f>
        <v>15439.497304306382</v>
      </c>
      <c r="G110" s="14">
        <f>G109+G108</f>
        <v>38408.10037539033</v>
      </c>
      <c r="H110" s="14">
        <f>H109+H108</f>
        <v>17189.50769447044</v>
      </c>
      <c r="I110" s="14">
        <f>I109+I108</f>
        <v>19518.51764590923</v>
      </c>
      <c r="J110" s="12"/>
      <c r="K110" s="14"/>
      <c r="L110" s="5"/>
      <c r="M110" s="14"/>
      <c r="N110" s="22"/>
      <c r="O110" s="4"/>
    </row>
    <row r="111" spans="2:15" ht="12.75">
      <c r="B111" s="7" t="s">
        <v>92</v>
      </c>
      <c r="E111" s="5">
        <f>E98+E102*COS($I$91)</f>
        <v>3.428511089692617</v>
      </c>
      <c r="F111" s="5"/>
      <c r="G111" s="5"/>
      <c r="H111" s="5">
        <f>H98+H102*COS($I$91)</f>
        <v>12.058670967856727</v>
      </c>
      <c r="I111" s="5">
        <f>I98+I102*COS($I$91)</f>
        <v>12.808084639623743</v>
      </c>
      <c r="J111" s="12"/>
      <c r="K111" s="14"/>
      <c r="L111" s="5"/>
      <c r="M111" s="14"/>
      <c r="N111" s="22"/>
      <c r="O111" s="4"/>
    </row>
    <row r="112" spans="2:14" ht="12.75">
      <c r="B112" s="1" t="s">
        <v>107</v>
      </c>
      <c r="H112" s="14">
        <f>D48*$D$38*SIN($M$92)+H97*SIN($M$93)*$D$38*SIN($M$92)</f>
        <v>7865.23278500827</v>
      </c>
      <c r="I112" s="14">
        <f>E48*$D$38*SIN($M$92)+I97*SIN($M$93)*$D$38*SIN($M$92)</f>
        <v>8405.214675645037</v>
      </c>
      <c r="J112" s="1" t="s">
        <v>70</v>
      </c>
      <c r="K112" s="14"/>
      <c r="L112" s="5"/>
      <c r="M112" s="14"/>
      <c r="N112" s="22"/>
    </row>
    <row r="115" spans="2:9" ht="12.75">
      <c r="B115" s="6"/>
      <c r="I115" s="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 Aviation Gear Design</dc:title>
  <dc:subject/>
  <dc:creator>Neal Willford</dc:creator>
  <cp:keywords/>
  <dc:description/>
  <cp:lastModifiedBy>1</cp:lastModifiedBy>
  <cp:lastPrinted>2005-06-09T10:42:04Z</cp:lastPrinted>
  <dcterms:created xsi:type="dcterms:W3CDTF">2001-03-23T22:38:00Z</dcterms:created>
  <dcterms:modified xsi:type="dcterms:W3CDTF">2005-06-09T10:45:07Z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-1746849272</vt:i4>
  </property>
  <property fmtid="{D5CDD505-2E9C-101B-9397-08002B2CF9AE}" pid="3" name="_EmailSubject">
    <vt:lpwstr>Landing gear article</vt:lpwstr>
  </property>
  <property fmtid="{D5CDD505-2E9C-101B-9397-08002B2CF9AE}" pid="4" name="_AuthorEmail">
    <vt:lpwstr>willford@southwind.net</vt:lpwstr>
  </property>
  <property fmtid="{D5CDD505-2E9C-101B-9397-08002B2CF9AE}" pid="5" name="_AuthorEmailDisplayName">
    <vt:lpwstr>Willford</vt:lpwstr>
  </property>
  <property fmtid="{D5CDD505-2E9C-101B-9397-08002B2CF9AE}" pid="6" name="_ReviewingToolsShownOnce">
    <vt:lpwstr/>
  </property>
</Properties>
</file>