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76" windowWidth="12000" windowHeight="7020" tabRatio="766" activeTab="1"/>
  </bookViews>
  <sheets>
    <sheet name="Flat Gear" sheetId="1" r:id="rId1"/>
    <sheet name="Round Gear" sheetId="2" r:id="rId2"/>
  </sheets>
  <definedNames/>
  <calcPr fullCalcOnLoad="1"/>
</workbook>
</file>

<file path=xl/sharedStrings.xml><?xml version="1.0" encoding="utf-8"?>
<sst xmlns="http://schemas.openxmlformats.org/spreadsheetml/2006/main" count="328" uniqueCount="162">
  <si>
    <t>Landing gear design spreadsheet</t>
  </si>
  <si>
    <t>Landing weight:</t>
  </si>
  <si>
    <t>lbs</t>
  </si>
  <si>
    <t>sq ft</t>
  </si>
  <si>
    <t>Max vertical landing speed =</t>
  </si>
  <si>
    <t>Aft component of gear load, K =</t>
  </si>
  <si>
    <t>Tire outside diameter:</t>
  </si>
  <si>
    <t>Wing area:</t>
  </si>
  <si>
    <t>Tire Geometry</t>
  </si>
  <si>
    <t>inches</t>
  </si>
  <si>
    <t>psi</t>
  </si>
  <si>
    <t>Tire width:</t>
  </si>
  <si>
    <t>Modulus of elasticity, E:</t>
  </si>
  <si>
    <t>Estimated Fo =</t>
  </si>
  <si>
    <t xml:space="preserve">psi </t>
  </si>
  <si>
    <t>Ultimate tensile strength, Ftu:</t>
  </si>
  <si>
    <t>Material density:</t>
  </si>
  <si>
    <t>lbs/in^3</t>
  </si>
  <si>
    <t>Section</t>
  </si>
  <si>
    <t>delta L =</t>
  </si>
  <si>
    <t>I</t>
  </si>
  <si>
    <t>Flat tire diameter:</t>
  </si>
  <si>
    <t>Gear Leg Material Properties</t>
  </si>
  <si>
    <t>in^4</t>
  </si>
  <si>
    <t>deflection</t>
  </si>
  <si>
    <t>This spreadsheet is for educational purposes only and may contain errors.  Any attempt to use the results for actual design purposes are done at the user's own risk.</t>
  </si>
  <si>
    <t>Input required in yellow cells</t>
  </si>
  <si>
    <t>Written by Neal Willford 1/24/04 for Sport Aviation</t>
  </si>
  <si>
    <t>Based on methods presented in "Design of Light Aircraft" by Richard Hiscocks and "The Landing Gear" by Herb Rawdon</t>
  </si>
  <si>
    <t>Tire pressure:</t>
  </si>
  <si>
    <t>Gear Geometry ( see Figure )</t>
  </si>
  <si>
    <t>Gear leg constant thickness:</t>
  </si>
  <si>
    <t>Dist. from leg bend to wheel C/L:</t>
  </si>
  <si>
    <t>Distance between gear supports:</t>
  </si>
  <si>
    <t>Gear width at side of fuselage:</t>
  </si>
  <si>
    <t>Gear width at wheel:</t>
  </si>
  <si>
    <t>Gear leg deflection constant</t>
  </si>
  <si>
    <t>gear width</t>
  </si>
  <si>
    <t>calculation assumes that the gear leg has constant area from end of leg to wheel center line</t>
  </si>
  <si>
    <t>slope</t>
  </si>
  <si>
    <t>Multiplier if drag load in bending =</t>
  </si>
  <si>
    <t>Gear Span:</t>
  </si>
  <si>
    <t>Gear Leg Deflection constant =</t>
  </si>
  <si>
    <t>area</t>
  </si>
  <si>
    <t>sq. in.</t>
  </si>
  <si>
    <t>Tire deflection (inches)</t>
  </si>
  <si>
    <t>Energy absorbed by tires (in-lbs)</t>
  </si>
  <si>
    <t>For flat, constant thickness tapered cantilever spring gear with single or double deflection</t>
  </si>
  <si>
    <t>Deflection of gear normal to leg (inches)</t>
  </si>
  <si>
    <t>Energy absorbed by gear legs (in-lbs)</t>
  </si>
  <si>
    <t>Load normal to gear leg (lbs)</t>
  </si>
  <si>
    <t>Total gear leg deflection (inches)</t>
  </si>
  <si>
    <t>FAR vertical sink speed (ft/sec)</t>
  </si>
  <si>
    <t>Deflection of leg due to center section (inches)</t>
  </si>
  <si>
    <t>Energy due to sink speed (in-lbs)</t>
  </si>
  <si>
    <t>Energy due to gear and tire stroke (in-lbs)</t>
  </si>
  <si>
    <t>Total energy provided by gear (in-lbs)</t>
  </si>
  <si>
    <t>Angle of gear leg from horizon =</t>
  </si>
  <si>
    <t>radians</t>
  </si>
  <si>
    <t>Total limit energy of landing (in-lbs)</t>
  </si>
  <si>
    <t>Gear load factor (ng)</t>
  </si>
  <si>
    <t>Vertical load per wheel (lbs)</t>
  </si>
  <si>
    <t>limit energy slope =</t>
  </si>
  <si>
    <t>M/EI</t>
  </si>
  <si>
    <t>constants for E and load = 1</t>
  </si>
  <si>
    <t>Bending stress at top of gear (psi)</t>
  </si>
  <si>
    <t>limit intercept =</t>
  </si>
  <si>
    <t>gear energy slope =</t>
  </si>
  <si>
    <t>gear energy intercept =</t>
  </si>
  <si>
    <t>Energy</t>
  </si>
  <si>
    <t>in-lbs</t>
  </si>
  <si>
    <t>Energy where req'd limit &amp; gear/tire match =</t>
  </si>
  <si>
    <t>Energy required and available calculations</t>
  </si>
  <si>
    <t xml:space="preserve">Reserve </t>
  </si>
  <si>
    <t xml:space="preserve">Limit </t>
  </si>
  <si>
    <t>Condition</t>
  </si>
  <si>
    <t>Gear drag load not accounted for in the calculations below</t>
  </si>
  <si>
    <t>Background calculations</t>
  </si>
  <si>
    <t xml:space="preserve">Vertical gear load per wheel (lbs) </t>
  </si>
  <si>
    <t xml:space="preserve">Gear load factor (ng) </t>
  </si>
  <si>
    <t>Max allow. bending stress =</t>
  </si>
  <si>
    <t>ft/sec (for limit energy case)</t>
  </si>
  <si>
    <t>ft/sec (for reserve energy case)</t>
  </si>
  <si>
    <t>Maximum Vertical Speed Calculation</t>
  </si>
  <si>
    <t>of fuselage (1, yes 0 no)?</t>
  </si>
  <si>
    <t>One piece gear that is free to deflect at center</t>
  </si>
  <si>
    <t>Max. possible tire deflection =</t>
  </si>
  <si>
    <t>Tire deflection at limit energy condition</t>
  </si>
  <si>
    <t>Tire deflection at limit energy =</t>
  </si>
  <si>
    <t>Landing Gear Capability.  Margin of Safety should be at least 0.50 for Limit Energy Condition.</t>
  </si>
  <si>
    <t>Limit energy drop ht =</t>
  </si>
  <si>
    <t>Drop height (inches)</t>
  </si>
  <si>
    <t xml:space="preserve">Total gear + tire deflection </t>
  </si>
  <si>
    <t>Gear drag load is accounted for in bending</t>
  </si>
  <si>
    <t>Approx gear weight =</t>
  </si>
  <si>
    <t>Gear diameter at side of fuselage:</t>
  </si>
  <si>
    <t>Gear diameter at axle:</t>
  </si>
  <si>
    <t>Leg length in mounting socket:</t>
  </si>
  <si>
    <t>Dia (inches)</t>
  </si>
  <si>
    <t>Local</t>
  </si>
  <si>
    <t>M</t>
  </si>
  <si>
    <t>max Mr/I =</t>
  </si>
  <si>
    <t>Mr/I</t>
  </si>
  <si>
    <t>integrated</t>
  </si>
  <si>
    <t>approximate Fs =</t>
  </si>
  <si>
    <t>limit energy</t>
  </si>
  <si>
    <t>reserve energy</t>
  </si>
  <si>
    <t>Torsion moment on gear leg due to sweep and drag load =</t>
  </si>
  <si>
    <t xml:space="preserve">Combined Margin of Safety </t>
  </si>
  <si>
    <t>Material properties of some materials used for gear legs</t>
  </si>
  <si>
    <t>2024-T3 Aluminum</t>
  </si>
  <si>
    <t>4340, 5160 and 6150 Steel</t>
  </si>
  <si>
    <t>6AL-4V Titanium</t>
  </si>
  <si>
    <t>Ultimate</t>
  </si>
  <si>
    <t>strength</t>
  </si>
  <si>
    <t>Ftu (psi)</t>
  </si>
  <si>
    <t>Modulus</t>
  </si>
  <si>
    <t xml:space="preserve">Elasticity </t>
  </si>
  <si>
    <t>E (psi)</t>
  </si>
  <si>
    <t>Material</t>
  </si>
  <si>
    <t>Density</t>
  </si>
  <si>
    <t>(lbs/in^3)</t>
  </si>
  <si>
    <t>*** Steel Ftu are heat treated values ***</t>
  </si>
  <si>
    <t>ft/sec (for limit energy)</t>
  </si>
  <si>
    <t>ft/sec (for reserve energy)</t>
  </si>
  <si>
    <t>For SOLID, round tapered cantilever spring gear with single deflection</t>
  </si>
  <si>
    <t>Gear height:</t>
  </si>
  <si>
    <t>Gear span:</t>
  </si>
  <si>
    <t>Gear leg true length =</t>
  </si>
  <si>
    <t>Gear drag load per wheel (lbs)</t>
  </si>
  <si>
    <t>Based on methods presented in "Design of Light Aircraft" by Richard Hiscocks, "The Landing Gear" by Herb Rawdon and "Analysis and Design of Flight Vehicle Structures" by Bruhn</t>
  </si>
  <si>
    <t>Top view gear length =</t>
  </si>
  <si>
    <t>Tire + gear vertical deflection (in)</t>
  </si>
  <si>
    <t>Gear side view depth (positive aft):</t>
  </si>
  <si>
    <t>front view gear angle =</t>
  </si>
  <si>
    <t>side view gear angle =</t>
  </si>
  <si>
    <t>Tr/Ip</t>
  </si>
  <si>
    <t>%</t>
  </si>
  <si>
    <t>% of load of on main wheels at gross weight and C.G. while a/c sitting on the ground:</t>
  </si>
  <si>
    <t>Additional gear + tire deflection for reserve energy condition =</t>
  </si>
  <si>
    <t>L.E.</t>
  </si>
  <si>
    <t>R.E.</t>
  </si>
  <si>
    <t>M.S.</t>
  </si>
  <si>
    <t>Min M.S. =</t>
  </si>
  <si>
    <t>limit</t>
  </si>
  <si>
    <t>reserve</t>
  </si>
  <si>
    <t xml:space="preserve">APPROXIMATE Margin of Safety </t>
  </si>
  <si>
    <t>tapered gear slope =</t>
  </si>
  <si>
    <t>inches (parallel to leg)</t>
  </si>
  <si>
    <t>Main wheel tire + gear leg deflection while a/c sitting on the ground =</t>
  </si>
  <si>
    <t>L =</t>
  </si>
  <si>
    <t>a =</t>
  </si>
  <si>
    <t>b =</t>
  </si>
  <si>
    <t>Slope constant due to full span gear ctr section deflection =</t>
  </si>
  <si>
    <t>Slope constant due to part span gear ctr section deflection =</t>
  </si>
  <si>
    <t>between gear support and attach pt:</t>
  </si>
  <si>
    <t xml:space="preserve">For two piece gear (or 1 piece w/center attach pt), distance  </t>
  </si>
  <si>
    <t>Gear Stub Deflection constant =</t>
  </si>
  <si>
    <t>Deflection due to gear stub (inches)</t>
  </si>
  <si>
    <t>Effective weight for drop test (lbs)</t>
  </si>
  <si>
    <t>Limit inertial load factor (n)</t>
  </si>
  <si>
    <t>Reserve energy (in-lbs)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</si>
</sst>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  <numFmt numFmtId="167" formatCode="0.0"/>
    <numFmt numFmtId="168" formatCode="0.0000000"/>
    <numFmt numFmtId="169" formatCode="0.000000"/>
    <numFmt numFmtId="170" formatCode="0.00000000"/>
    <numFmt numFmtId="171" formatCode="0.00000000000000"/>
    <numFmt numFmtId="172" formatCode="0.0000000000000"/>
    <numFmt numFmtId="173" formatCode="0.000000000000"/>
    <numFmt numFmtId="174" formatCode="0.00000000000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/>
    </xf>
    <xf numFmtId="0" fontId="1" fillId="0" borderId="0" xfId="0" applyNumberFormat="1" applyFont="1" applyFill="1" applyBorder="1" applyAlignment="1" applyProtection="1">
      <alignment/>
      <protection/>
    </xf>
    <xf numFmtId="0" fontId="1" fillId="2" borderId="0" xfId="0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0" fontId="1" fillId="0" borderId="0" xfId="0" applyFont="1" applyFill="1" applyBorder="1" applyAlignment="1">
      <alignment/>
    </xf>
    <xf numFmtId="167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67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0" fillId="0" borderId="0" xfId="0" applyBorder="1" applyAlignment="1" quotePrefix="1">
      <alignment horizontal="center"/>
    </xf>
    <xf numFmtId="167" fontId="0" fillId="0" borderId="0" xfId="0" applyNumberForma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1" xfId="0" applyFill="1" applyBorder="1" applyAlignment="1">
      <alignment/>
    </xf>
    <xf numFmtId="0" fontId="1" fillId="2" borderId="2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1" fillId="2" borderId="5" xfId="0" applyFont="1" applyFill="1" applyBorder="1" applyAlignment="1">
      <alignment/>
    </xf>
    <xf numFmtId="0" fontId="0" fillId="3" borderId="6" xfId="0" applyFill="1" applyBorder="1" applyAlignment="1">
      <alignment/>
    </xf>
    <xf numFmtId="167" fontId="0" fillId="3" borderId="0" xfId="0" applyNumberFormat="1" applyFill="1" applyBorder="1" applyAlignment="1">
      <alignment/>
    </xf>
    <xf numFmtId="0" fontId="0" fillId="3" borderId="2" xfId="0" applyFill="1" applyBorder="1" applyAlignment="1">
      <alignment/>
    </xf>
    <xf numFmtId="167" fontId="0" fillId="3" borderId="2" xfId="0" applyNumberFormat="1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5" xfId="0" applyFill="1" applyBorder="1" applyAlignment="1">
      <alignment/>
    </xf>
    <xf numFmtId="2" fontId="0" fillId="3" borderId="5" xfId="0" applyNumberFormat="1" applyFill="1" applyBorder="1" applyAlignment="1">
      <alignment/>
    </xf>
    <xf numFmtId="167" fontId="1" fillId="3" borderId="5" xfId="0" applyNumberFormat="1" applyFont="1" applyFill="1" applyBorder="1" applyAlignment="1">
      <alignment/>
    </xf>
    <xf numFmtId="2" fontId="1" fillId="2" borderId="2" xfId="0" applyNumberFormat="1" applyFont="1" applyFill="1" applyBorder="1" applyAlignment="1">
      <alignment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167" fontId="1" fillId="3" borderId="10" xfId="0" applyNumberFormat="1" applyFont="1" applyFill="1" applyBorder="1" applyAlignment="1">
      <alignment horizontal="center"/>
    </xf>
    <xf numFmtId="2" fontId="1" fillId="3" borderId="11" xfId="0" applyNumberFormat="1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2" fontId="1" fillId="3" borderId="5" xfId="0" applyNumberFormat="1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167" fontId="1" fillId="3" borderId="8" xfId="0" applyNumberFormat="1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2" fontId="1" fillId="3" borderId="6" xfId="0" applyNumberFormat="1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1" fontId="1" fillId="3" borderId="9" xfId="0" applyNumberFormat="1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1" fontId="1" fillId="3" borderId="11" xfId="0" applyNumberFormat="1" applyFont="1" applyFill="1" applyBorder="1" applyAlignment="1">
      <alignment horizontal="center"/>
    </xf>
    <xf numFmtId="1" fontId="1" fillId="3" borderId="6" xfId="0" applyNumberFormat="1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/>
    </xf>
    <xf numFmtId="1" fontId="1" fillId="3" borderId="10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165" fontId="1" fillId="3" borderId="6" xfId="0" applyNumberFormat="1" applyFont="1" applyFill="1" applyBorder="1" applyAlignment="1">
      <alignment horizontal="center"/>
    </xf>
    <xf numFmtId="165" fontId="1" fillId="3" borderId="8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2" fontId="1" fillId="3" borderId="5" xfId="0" applyNumberFormat="1" applyFont="1" applyFill="1" applyBorder="1" applyAlignment="1">
      <alignment horizontal="right"/>
    </xf>
    <xf numFmtId="167" fontId="1" fillId="3" borderId="9" xfId="0" applyNumberFormat="1" applyFont="1" applyFill="1" applyBorder="1" applyAlignment="1">
      <alignment horizontal="center"/>
    </xf>
    <xf numFmtId="167" fontId="1" fillId="3" borderId="3" xfId="0" applyNumberFormat="1" applyFont="1" applyFill="1" applyBorder="1" applyAlignment="1">
      <alignment horizontal="center"/>
    </xf>
    <xf numFmtId="2" fontId="1" fillId="3" borderId="0" xfId="0" applyNumberFormat="1" applyFont="1" applyFill="1" applyBorder="1" applyAlignment="1">
      <alignment/>
    </xf>
    <xf numFmtId="2" fontId="1" fillId="3" borderId="5" xfId="0" applyNumberFormat="1" applyFont="1" applyFill="1" applyBorder="1" applyAlignment="1">
      <alignment/>
    </xf>
    <xf numFmtId="2" fontId="1" fillId="3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2" fontId="0" fillId="0" borderId="0" xfId="0" applyNumberFormat="1" applyBorder="1" applyAlignment="1">
      <alignment horizontal="right"/>
    </xf>
    <xf numFmtId="1" fontId="1" fillId="2" borderId="0" xfId="0" applyNumberFormat="1" applyFont="1" applyFill="1" applyBorder="1" applyAlignment="1">
      <alignment horizontal="right"/>
    </xf>
    <xf numFmtId="2" fontId="0" fillId="0" borderId="0" xfId="0" applyNumberForma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7</xdr:row>
      <xdr:rowOff>142875</xdr:rowOff>
    </xdr:from>
    <xdr:to>
      <xdr:col>8</xdr:col>
      <xdr:colOff>0</xdr:colOff>
      <xdr:row>26</xdr:row>
      <xdr:rowOff>152400</xdr:rowOff>
    </xdr:to>
    <xdr:pic>
      <xdr:nvPicPr>
        <xdr:cNvPr id="1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276350"/>
          <a:ext cx="5324475" cy="3086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7</xdr:row>
      <xdr:rowOff>47625</xdr:rowOff>
    </xdr:from>
    <xdr:to>
      <xdr:col>12</xdr:col>
      <xdr:colOff>28575</xdr:colOff>
      <xdr:row>27</xdr:row>
      <xdr:rowOff>19050</xdr:rowOff>
    </xdr:to>
    <xdr:pic>
      <xdr:nvPicPr>
        <xdr:cNvPr id="1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181100"/>
          <a:ext cx="8305800" cy="3209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2"/>
  <sheetViews>
    <sheetView zoomScale="75" zoomScaleNormal="75" workbookViewId="0" topLeftCell="A82">
      <selection activeCell="D42" sqref="D42"/>
    </sheetView>
  </sheetViews>
  <sheetFormatPr defaultColWidth="9.140625" defaultRowHeight="12.75"/>
  <cols>
    <col min="1" max="1" width="10.28125" style="1" customWidth="1"/>
    <col min="2" max="2" width="12.7109375" style="1" customWidth="1"/>
    <col min="3" max="3" width="15.7109375" style="1" customWidth="1"/>
    <col min="4" max="4" width="10.57421875" style="1" customWidth="1"/>
    <col min="5" max="5" width="10.28125" style="1" customWidth="1"/>
    <col min="6" max="6" width="9.28125" style="1" customWidth="1"/>
    <col min="7" max="7" width="10.28125" style="1" customWidth="1"/>
    <col min="8" max="8" width="11.421875" style="1" customWidth="1"/>
    <col min="9" max="9" width="11.00390625" style="1" customWidth="1"/>
    <col min="10" max="10" width="11.7109375" style="1" customWidth="1"/>
    <col min="11" max="11" width="11.00390625" style="1" customWidth="1"/>
    <col min="12" max="13" width="10.28125" style="1" customWidth="1"/>
    <col min="14" max="14" width="10.8515625" style="1" customWidth="1"/>
    <col min="15" max="15" width="11.140625" style="1" customWidth="1"/>
    <col min="16" max="16" width="13.7109375" style="1" customWidth="1"/>
    <col min="17" max="17" width="17.28125" style="1" bestFit="1" customWidth="1"/>
    <col min="18" max="16384" width="9.140625" style="1" customWidth="1"/>
  </cols>
  <sheetData>
    <row r="1" ht="12.75">
      <c r="A1" s="3" t="s">
        <v>0</v>
      </c>
    </row>
    <row r="2" ht="12.75">
      <c r="A2" s="9" t="s">
        <v>27</v>
      </c>
    </row>
    <row r="3" ht="12.75">
      <c r="A3" s="9" t="s">
        <v>28</v>
      </c>
    </row>
    <row r="4" ht="12.75">
      <c r="A4" s="3" t="s">
        <v>47</v>
      </c>
    </row>
    <row r="5" ht="12.75">
      <c r="A5" s="16" t="s">
        <v>76</v>
      </c>
    </row>
    <row r="6" ht="12.75">
      <c r="A6" s="9" t="s">
        <v>25</v>
      </c>
    </row>
    <row r="7" ht="12.75">
      <c r="A7" s="9" t="s">
        <v>26</v>
      </c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9" spans="2:9" ht="12.75">
      <c r="B29" s="3" t="s">
        <v>83</v>
      </c>
      <c r="E29" s="3" t="s">
        <v>8</v>
      </c>
      <c r="I29" s="3" t="s">
        <v>109</v>
      </c>
    </row>
    <row r="30" spans="2:13" ht="12.75">
      <c r="B30" s="27" t="s">
        <v>1</v>
      </c>
      <c r="C30" s="28">
        <v>2300</v>
      </c>
      <c r="D30" s="34" t="s">
        <v>2</v>
      </c>
      <c r="E30" s="34" t="s">
        <v>6</v>
      </c>
      <c r="F30" s="34"/>
      <c r="G30" s="28">
        <v>16.375</v>
      </c>
      <c r="H30" s="29" t="s">
        <v>9</v>
      </c>
      <c r="I30" s="27"/>
      <c r="J30" s="34"/>
      <c r="K30" s="62" t="s">
        <v>113</v>
      </c>
      <c r="L30" s="62" t="s">
        <v>116</v>
      </c>
      <c r="M30" s="50" t="s">
        <v>119</v>
      </c>
    </row>
    <row r="31" spans="2:13" ht="12.75">
      <c r="B31" s="36" t="s">
        <v>7</v>
      </c>
      <c r="C31" s="10">
        <v>153</v>
      </c>
      <c r="D31" s="26" t="s">
        <v>3</v>
      </c>
      <c r="E31" s="26" t="s">
        <v>21</v>
      </c>
      <c r="F31" s="26"/>
      <c r="G31" s="10">
        <v>8</v>
      </c>
      <c r="H31" s="37" t="s">
        <v>9</v>
      </c>
      <c r="I31" s="36"/>
      <c r="J31" s="26"/>
      <c r="K31" s="60" t="s">
        <v>114</v>
      </c>
      <c r="L31" s="60" t="s">
        <v>117</v>
      </c>
      <c r="M31" s="51" t="s">
        <v>120</v>
      </c>
    </row>
    <row r="32" spans="2:13" ht="12.75">
      <c r="B32" s="36"/>
      <c r="C32" s="26"/>
      <c r="D32" s="26"/>
      <c r="E32" s="26" t="s">
        <v>11</v>
      </c>
      <c r="F32" s="26"/>
      <c r="G32" s="10">
        <v>6</v>
      </c>
      <c r="H32" s="37" t="s">
        <v>9</v>
      </c>
      <c r="I32" s="30" t="s">
        <v>119</v>
      </c>
      <c r="J32" s="38"/>
      <c r="K32" s="64" t="s">
        <v>115</v>
      </c>
      <c r="L32" s="64" t="s">
        <v>118</v>
      </c>
      <c r="M32" s="53" t="s">
        <v>121</v>
      </c>
    </row>
    <row r="33" spans="2:13" ht="12.75">
      <c r="B33" s="30"/>
      <c r="C33" s="38"/>
      <c r="D33" s="38"/>
      <c r="E33" s="38" t="s">
        <v>29</v>
      </c>
      <c r="F33" s="38"/>
      <c r="G33" s="31">
        <v>36</v>
      </c>
      <c r="H33" s="32" t="s">
        <v>10</v>
      </c>
      <c r="I33" s="36" t="s">
        <v>111</v>
      </c>
      <c r="J33" s="26"/>
      <c r="K33" s="61">
        <v>220000</v>
      </c>
      <c r="L33" s="61">
        <v>29000000</v>
      </c>
      <c r="M33" s="66">
        <v>0.286</v>
      </c>
    </row>
    <row r="34" spans="2:13" ht="12.75">
      <c r="B34" s="3" t="s">
        <v>30</v>
      </c>
      <c r="I34" s="36" t="s">
        <v>110</v>
      </c>
      <c r="J34" s="26"/>
      <c r="K34" s="61">
        <v>70000</v>
      </c>
      <c r="L34" s="61">
        <v>10500000</v>
      </c>
      <c r="M34" s="66">
        <v>0.098</v>
      </c>
    </row>
    <row r="35" spans="2:13" ht="12.75">
      <c r="B35" s="27" t="s">
        <v>41</v>
      </c>
      <c r="C35" s="34"/>
      <c r="D35" s="41">
        <v>20</v>
      </c>
      <c r="E35" s="29" t="s">
        <v>9</v>
      </c>
      <c r="I35" s="30" t="s">
        <v>112</v>
      </c>
      <c r="J35" s="38"/>
      <c r="K35" s="63">
        <v>130000</v>
      </c>
      <c r="L35" s="63">
        <v>16000000</v>
      </c>
      <c r="M35" s="65">
        <v>0.16</v>
      </c>
    </row>
    <row r="36" spans="2:9" ht="12.75">
      <c r="B36" s="36" t="s">
        <v>126</v>
      </c>
      <c r="C36" s="26"/>
      <c r="D36" s="11">
        <v>37.5</v>
      </c>
      <c r="E36" s="37" t="s">
        <v>9</v>
      </c>
      <c r="I36" s="67" t="s">
        <v>122</v>
      </c>
    </row>
    <row r="37" spans="2:9" ht="12.75">
      <c r="B37" s="36" t="s">
        <v>128</v>
      </c>
      <c r="C37" s="26"/>
      <c r="D37" s="73">
        <f>(D35^2+D36^2)^0.5</f>
        <v>42.5</v>
      </c>
      <c r="E37" s="37" t="s">
        <v>9</v>
      </c>
      <c r="I37" s="3" t="s">
        <v>22</v>
      </c>
    </row>
    <row r="38" spans="2:12" ht="12.75">
      <c r="B38" s="36" t="s">
        <v>32</v>
      </c>
      <c r="C38" s="26"/>
      <c r="D38" s="11">
        <v>3.5</v>
      </c>
      <c r="E38" s="37" t="s">
        <v>9</v>
      </c>
      <c r="I38" s="27" t="s">
        <v>12</v>
      </c>
      <c r="J38" s="34"/>
      <c r="K38" s="28">
        <v>10500000</v>
      </c>
      <c r="L38" s="29" t="s">
        <v>10</v>
      </c>
    </row>
    <row r="39" spans="2:12" ht="12.75">
      <c r="B39" s="36" t="s">
        <v>85</v>
      </c>
      <c r="C39" s="26"/>
      <c r="D39" s="26"/>
      <c r="E39" s="37"/>
      <c r="I39" s="36"/>
      <c r="J39" s="26"/>
      <c r="K39" s="10"/>
      <c r="L39" s="37"/>
    </row>
    <row r="40" spans="2:12" ht="12.75">
      <c r="B40" s="36" t="s">
        <v>84</v>
      </c>
      <c r="C40" s="26"/>
      <c r="D40" s="76">
        <v>1</v>
      </c>
      <c r="E40" s="37"/>
      <c r="I40" s="36" t="s">
        <v>15</v>
      </c>
      <c r="J40" s="26"/>
      <c r="K40" s="10">
        <v>70000</v>
      </c>
      <c r="L40" s="37" t="s">
        <v>10</v>
      </c>
    </row>
    <row r="41" spans="2:12" ht="12.75">
      <c r="B41" s="36" t="s">
        <v>33</v>
      </c>
      <c r="C41" s="26"/>
      <c r="D41" s="11">
        <v>32</v>
      </c>
      <c r="E41" s="37" t="s">
        <v>9</v>
      </c>
      <c r="I41" s="30" t="s">
        <v>16</v>
      </c>
      <c r="J41" s="38"/>
      <c r="K41" s="31">
        <v>0.098</v>
      </c>
      <c r="L41" s="32" t="s">
        <v>17</v>
      </c>
    </row>
    <row r="42" spans="2:12" ht="12.75">
      <c r="B42" s="36" t="s">
        <v>156</v>
      </c>
      <c r="C42" s="26"/>
      <c r="D42" s="26"/>
      <c r="E42" s="37"/>
      <c r="I42" s="30" t="s">
        <v>94</v>
      </c>
      <c r="J42" s="38"/>
      <c r="K42" s="40">
        <f>IF(D40=1,K41*(AVERAGE(E70:E90)*C70*2+D41*E70),2*K41*(AVERAGE(E70:E90)*C70+D43*E70))</f>
        <v>71.29354166666664</v>
      </c>
      <c r="L42" s="32" t="s">
        <v>2</v>
      </c>
    </row>
    <row r="43" spans="2:5" ht="12.75">
      <c r="B43" s="36" t="s">
        <v>155</v>
      </c>
      <c r="C43" s="26"/>
      <c r="D43" s="11">
        <v>15</v>
      </c>
      <c r="E43" s="37" t="s">
        <v>9</v>
      </c>
    </row>
    <row r="44" spans="2:5" ht="12.75">
      <c r="B44" s="36" t="s">
        <v>31</v>
      </c>
      <c r="C44" s="26"/>
      <c r="D44" s="11">
        <v>1.25</v>
      </c>
      <c r="E44" s="37" t="s">
        <v>9</v>
      </c>
    </row>
    <row r="45" spans="2:5" ht="12.75">
      <c r="B45" s="36" t="s">
        <v>34</v>
      </c>
      <c r="C45" s="26"/>
      <c r="D45" s="11">
        <v>6</v>
      </c>
      <c r="E45" s="37" t="s">
        <v>9</v>
      </c>
    </row>
    <row r="46" spans="2:5" ht="12.75">
      <c r="B46" s="30" t="s">
        <v>35</v>
      </c>
      <c r="C46" s="38"/>
      <c r="D46" s="58">
        <v>2</v>
      </c>
      <c r="E46" s="32" t="s">
        <v>9</v>
      </c>
    </row>
    <row r="47" ht="12.75">
      <c r="L47" s="7"/>
    </row>
    <row r="48" ht="12.75">
      <c r="B48" s="3" t="s">
        <v>89</v>
      </c>
    </row>
    <row r="49" spans="2:12" ht="12.75">
      <c r="B49" s="27"/>
      <c r="C49" s="34"/>
      <c r="D49" s="42" t="s">
        <v>74</v>
      </c>
      <c r="E49" s="50" t="s">
        <v>73</v>
      </c>
      <c r="F49" s="34" t="s">
        <v>4</v>
      </c>
      <c r="G49" s="34"/>
      <c r="H49" s="34"/>
      <c r="I49" s="35">
        <f>IF(4.4*(C30/C31)^0.25&lt;7,7,IF(4.4*(C30/C31)^0.25&gt;10,10,4.4*(C30/C31)^0.25))</f>
        <v>8.663867020375218</v>
      </c>
      <c r="J49" s="34" t="s">
        <v>81</v>
      </c>
      <c r="K49" s="34"/>
      <c r="L49" s="29"/>
    </row>
    <row r="50" spans="2:12" ht="12.75">
      <c r="B50" s="36"/>
      <c r="C50" s="26"/>
      <c r="D50" s="43" t="s">
        <v>69</v>
      </c>
      <c r="E50" s="51" t="s">
        <v>69</v>
      </c>
      <c r="F50" s="26" t="s">
        <v>4</v>
      </c>
      <c r="G50" s="26"/>
      <c r="H50" s="26"/>
      <c r="I50" s="33">
        <f>1.2*I49</f>
        <v>10.396640424450261</v>
      </c>
      <c r="J50" s="26" t="s">
        <v>82</v>
      </c>
      <c r="K50" s="26"/>
      <c r="L50" s="37"/>
    </row>
    <row r="51" spans="2:12" ht="12.75">
      <c r="B51" s="30"/>
      <c r="C51" s="38"/>
      <c r="D51" s="48" t="s">
        <v>75</v>
      </c>
      <c r="E51" s="53" t="s">
        <v>75</v>
      </c>
      <c r="F51" s="38" t="s">
        <v>5</v>
      </c>
      <c r="G51" s="38"/>
      <c r="H51" s="38"/>
      <c r="I51" s="39">
        <f>IF(C30&lt;3000,0.25,IF(C30&gt;6000,0.33,0.25+(C30-3000)/3000*0.08))</f>
        <v>0.25</v>
      </c>
      <c r="J51" s="38"/>
      <c r="K51" s="38"/>
      <c r="L51" s="32"/>
    </row>
    <row r="52" spans="2:8" ht="12.75">
      <c r="B52" s="27" t="s">
        <v>78</v>
      </c>
      <c r="C52" s="34"/>
      <c r="D52" s="54">
        <f>M99*M101+M100</f>
        <v>3607.1976310745613</v>
      </c>
      <c r="E52" s="55">
        <f>F108*M99+M100</f>
        <v>3845.5668545713706</v>
      </c>
      <c r="F52" s="3" t="s">
        <v>87</v>
      </c>
      <c r="H52" s="14"/>
    </row>
    <row r="53" spans="2:10" ht="12.75">
      <c r="B53" s="36" t="s">
        <v>79</v>
      </c>
      <c r="C53" s="26"/>
      <c r="D53" s="44">
        <f>D52*2/C30</f>
        <v>3.136693592238749</v>
      </c>
      <c r="E53" s="49">
        <f>E52/C30*2</f>
        <v>3.3439711778881485</v>
      </c>
      <c r="F53" s="27" t="s">
        <v>88</v>
      </c>
      <c r="G53" s="34"/>
      <c r="H53" s="34"/>
      <c r="I53" s="46">
        <f>D52/(2.25*($G$30*$G$32)^0.5*(2+$G$33))</f>
        <v>4.256352058233762</v>
      </c>
      <c r="J53" s="29" t="str">
        <f>IF(I53&gt;I54,"inches ** Value too high.  Increase tire pressure or use larger tires**","inches")</f>
        <v>inches ** Value too high.  Increase tire pressure or use larger tires**</v>
      </c>
    </row>
    <row r="54" spans="2:10" ht="12.75">
      <c r="B54" s="36" t="s">
        <v>160</v>
      </c>
      <c r="C54" s="26"/>
      <c r="D54" s="44">
        <f>D53+0.67</f>
        <v>3.806693592238749</v>
      </c>
      <c r="E54" s="49">
        <f>E53+1</f>
        <v>4.3439711778881485</v>
      </c>
      <c r="F54" s="30" t="s">
        <v>86</v>
      </c>
      <c r="G54" s="38"/>
      <c r="H54" s="38"/>
      <c r="I54" s="47">
        <f>($G$30-$G$31)/2</f>
        <v>4.1875</v>
      </c>
      <c r="J54" s="32" t="s">
        <v>9</v>
      </c>
    </row>
    <row r="55" spans="2:5" ht="12.75">
      <c r="B55" s="36" t="s">
        <v>132</v>
      </c>
      <c r="C55" s="26"/>
      <c r="D55" s="44">
        <f>H112</f>
        <v>11.498678619397229</v>
      </c>
      <c r="E55" s="44">
        <f>I112</f>
        <v>11.981812660997559</v>
      </c>
    </row>
    <row r="56" spans="2:5" ht="12.75">
      <c r="B56" s="30" t="s">
        <v>146</v>
      </c>
      <c r="C56" s="38"/>
      <c r="D56" s="45">
        <f>$M$103/M106-1</f>
        <v>0.9057273289279568</v>
      </c>
      <c r="E56" s="52">
        <f>$M$103/N106-1</f>
        <v>0.7875999472512603</v>
      </c>
    </row>
    <row r="57" spans="2:5" ht="12.75">
      <c r="B57" s="27" t="s">
        <v>91</v>
      </c>
      <c r="C57" s="34"/>
      <c r="D57" s="69">
        <f>IF(K93&lt;9.2,9.2,IF(K93&gt;18.7,18.7,K93))</f>
        <v>13.957919952907192</v>
      </c>
      <c r="E57" s="70">
        <f>1.44*D57</f>
        <v>20.099404732186354</v>
      </c>
    </row>
    <row r="58" spans="2:5" ht="12.75">
      <c r="B58" s="30" t="s">
        <v>159</v>
      </c>
      <c r="C58" s="38"/>
      <c r="D58" s="56">
        <f>$C$30*(D57+(1-2/3)*H112)/(D57+H112)</f>
        <v>1607.3973662926392</v>
      </c>
      <c r="E58" s="57">
        <f>$C$30*E57/(E57+I112)</f>
        <v>1440.987426301675</v>
      </c>
    </row>
    <row r="60" spans="2:9" ht="12.75">
      <c r="B60" s="27" t="s">
        <v>138</v>
      </c>
      <c r="C60" s="34"/>
      <c r="D60" s="34"/>
      <c r="E60" s="34"/>
      <c r="F60" s="34"/>
      <c r="G60" s="34"/>
      <c r="H60" s="28">
        <v>90</v>
      </c>
      <c r="I60" s="29" t="s">
        <v>137</v>
      </c>
    </row>
    <row r="61" spans="2:9" ht="12.75">
      <c r="B61" s="36" t="s">
        <v>149</v>
      </c>
      <c r="C61" s="26"/>
      <c r="D61" s="26"/>
      <c r="E61" s="26"/>
      <c r="F61" s="26"/>
      <c r="G61" s="26"/>
      <c r="H61" s="71">
        <f>E112</f>
        <v>3.319029195464839</v>
      </c>
      <c r="I61" s="37" t="s">
        <v>9</v>
      </c>
    </row>
    <row r="62" spans="2:9" ht="12.75">
      <c r="B62" s="30" t="s">
        <v>139</v>
      </c>
      <c r="C62" s="38"/>
      <c r="D62" s="38"/>
      <c r="E62" s="38"/>
      <c r="F62" s="38"/>
      <c r="G62" s="38"/>
      <c r="H62" s="72">
        <f>I112-E112</f>
        <v>8.66278346553272</v>
      </c>
      <c r="I62" s="32" t="s">
        <v>9</v>
      </c>
    </row>
    <row r="65" spans="2:9" ht="12.75">
      <c r="B65" s="3" t="s">
        <v>77</v>
      </c>
      <c r="E65" s="1" t="s">
        <v>32</v>
      </c>
      <c r="H65" s="2">
        <f>D38*D37/D35</f>
        <v>7.4375</v>
      </c>
      <c r="I65" s="1" t="s">
        <v>148</v>
      </c>
    </row>
    <row r="66" spans="2:12" ht="12.75">
      <c r="B66" s="25" t="s">
        <v>36</v>
      </c>
      <c r="D66" s="1" t="s">
        <v>38</v>
      </c>
      <c r="L66" s="7"/>
    </row>
    <row r="67" spans="2:12" ht="12.75">
      <c r="B67" s="7"/>
      <c r="D67" s="1" t="s">
        <v>19</v>
      </c>
      <c r="E67" s="2">
        <f>D37/19</f>
        <v>2.236842105263158</v>
      </c>
      <c r="F67" s="1" t="s">
        <v>9</v>
      </c>
      <c r="G67" s="4" t="s">
        <v>39</v>
      </c>
      <c r="H67" s="12" t="s">
        <v>24</v>
      </c>
      <c r="I67" s="4" t="s">
        <v>103</v>
      </c>
      <c r="J67" s="15"/>
      <c r="L67" s="7"/>
    </row>
    <row r="68" spans="2:9" ht="12.75">
      <c r="B68" s="12" t="s">
        <v>18</v>
      </c>
      <c r="C68" s="4"/>
      <c r="D68" s="1" t="s">
        <v>37</v>
      </c>
      <c r="E68" s="4" t="s">
        <v>43</v>
      </c>
      <c r="F68" s="4" t="s">
        <v>20</v>
      </c>
      <c r="G68" s="4" t="s">
        <v>63</v>
      </c>
      <c r="H68" s="4"/>
      <c r="I68" s="4" t="s">
        <v>24</v>
      </c>
    </row>
    <row r="69" spans="2:11" ht="12.75">
      <c r="B69" s="12"/>
      <c r="C69" s="4" t="s">
        <v>100</v>
      </c>
      <c r="D69" s="12" t="s">
        <v>9</v>
      </c>
      <c r="E69" s="4" t="s">
        <v>44</v>
      </c>
      <c r="F69" s="4" t="s">
        <v>23</v>
      </c>
      <c r="G69" s="4"/>
      <c r="H69" s="4"/>
      <c r="I69" s="4"/>
      <c r="J69" s="4"/>
      <c r="K69" s="4"/>
    </row>
    <row r="70" spans="2:11" s="4" customFormat="1" ht="12.75">
      <c r="B70" s="4">
        <v>1</v>
      </c>
      <c r="C70" s="5">
        <f>C71+$E$67</f>
        <v>49.93749999999999</v>
      </c>
      <c r="D70" s="5">
        <f aca="true" t="shared" si="0" ref="D70:D89">$D$46+($D$45-$D$46)/$D$37*(C70-$H$65)</f>
        <v>5.999999999999999</v>
      </c>
      <c r="E70" s="5">
        <f aca="true" t="shared" si="1" ref="E70:E90">D70*$D$44</f>
        <v>7.499999999999999</v>
      </c>
      <c r="F70" s="13">
        <f aca="true" t="shared" si="2" ref="F70:F90">$D$44^3/12*D70</f>
        <v>0.9765624999999998</v>
      </c>
      <c r="G70" s="14">
        <f aca="true" t="shared" si="3" ref="G70:G90">C70/F70</f>
        <v>51.136</v>
      </c>
      <c r="H70" s="14">
        <v>0</v>
      </c>
      <c r="I70" s="14">
        <v>0</v>
      </c>
      <c r="J70" s="1"/>
      <c r="K70" s="1"/>
    </row>
    <row r="71" spans="2:9" ht="12.75">
      <c r="B71" s="4">
        <f>1+B70</f>
        <v>2</v>
      </c>
      <c r="C71" s="5">
        <f aca="true" t="shared" si="4" ref="C71:C88">C72+$E$67</f>
        <v>47.700657894736835</v>
      </c>
      <c r="D71" s="5">
        <f t="shared" si="0"/>
        <v>5.789473684210526</v>
      </c>
      <c r="E71" s="5">
        <f t="shared" si="1"/>
        <v>7.2368421052631575</v>
      </c>
      <c r="F71" s="13">
        <f t="shared" si="2"/>
        <v>0.9422971491228068</v>
      </c>
      <c r="G71" s="14">
        <f t="shared" si="3"/>
        <v>50.62167272727273</v>
      </c>
      <c r="H71" s="14">
        <f aca="true" t="shared" si="5" ref="H71:H90">H70+(G71+G70)/2*(C70-C71)</f>
        <v>113.80792344497607</v>
      </c>
      <c r="I71" s="14">
        <f>I70+(H71+H70)/2*(C70-C71)</f>
        <v>127.28517753714426</v>
      </c>
    </row>
    <row r="72" spans="2:9" ht="12.75">
      <c r="B72" s="4">
        <f aca="true" t="shared" si="6" ref="B72:B89">1+B71</f>
        <v>3</v>
      </c>
      <c r="C72" s="5">
        <f t="shared" si="4"/>
        <v>45.46381578947368</v>
      </c>
      <c r="D72" s="5">
        <f t="shared" si="0"/>
        <v>5.578947368421051</v>
      </c>
      <c r="E72" s="5">
        <f t="shared" si="1"/>
        <v>6.973684210526314</v>
      </c>
      <c r="F72" s="13">
        <f t="shared" si="2"/>
        <v>0.9080317982456138</v>
      </c>
      <c r="G72" s="14">
        <f t="shared" si="3"/>
        <v>50.0685283018868</v>
      </c>
      <c r="H72" s="14">
        <f t="shared" si="5"/>
        <v>226.42196406969396</v>
      </c>
      <c r="I72" s="14">
        <f aca="true" t="shared" si="7" ref="I72:I90">I71+(H72+H71)/2*(C71-C72)</f>
        <v>507.8054464680252</v>
      </c>
    </row>
    <row r="73" spans="2:9" ht="12.75">
      <c r="B73" s="4">
        <f t="shared" si="6"/>
        <v>4</v>
      </c>
      <c r="C73" s="5">
        <f t="shared" si="4"/>
        <v>43.22697368421052</v>
      </c>
      <c r="D73" s="5">
        <f t="shared" si="0"/>
        <v>5.368421052631579</v>
      </c>
      <c r="E73" s="5">
        <f t="shared" si="1"/>
        <v>6.7105263157894735</v>
      </c>
      <c r="F73" s="13">
        <f t="shared" si="2"/>
        <v>0.873766447368421</v>
      </c>
      <c r="G73" s="14">
        <f t="shared" si="3"/>
        <v>49.471999999999994</v>
      </c>
      <c r="H73" s="14">
        <f>H72+(G73+G72)/2*(C72-C73)</f>
        <v>337.75018651259364</v>
      </c>
      <c r="I73" s="14">
        <f t="shared" si="7"/>
        <v>1138.7874569876888</v>
      </c>
    </row>
    <row r="74" spans="2:9" ht="12.75">
      <c r="B74" s="4">
        <f t="shared" si="6"/>
        <v>5</v>
      </c>
      <c r="C74" s="5">
        <f t="shared" si="4"/>
        <v>40.99013157894736</v>
      </c>
      <c r="D74" s="5">
        <f t="shared" si="0"/>
        <v>5.157894736842104</v>
      </c>
      <c r="E74" s="5">
        <f t="shared" si="1"/>
        <v>6.44736842105263</v>
      </c>
      <c r="F74" s="13">
        <f t="shared" si="2"/>
        <v>0.8395010964912278</v>
      </c>
      <c r="G74" s="14">
        <f t="shared" si="3"/>
        <v>48.82677551020409</v>
      </c>
      <c r="H74" s="14">
        <f t="shared" si="5"/>
        <v>447.68960649111136</v>
      </c>
      <c r="I74" s="14">
        <f t="shared" si="7"/>
        <v>2017.239857057622</v>
      </c>
    </row>
    <row r="75" spans="2:9" ht="12.75">
      <c r="B75" s="4">
        <f t="shared" si="6"/>
        <v>6</v>
      </c>
      <c r="C75" s="5">
        <f t="shared" si="4"/>
        <v>38.753289473684205</v>
      </c>
      <c r="D75" s="5">
        <f t="shared" si="0"/>
        <v>4.947368421052631</v>
      </c>
      <c r="E75" s="5">
        <f t="shared" si="1"/>
        <v>6.1842105263157885</v>
      </c>
      <c r="F75" s="13">
        <f t="shared" si="2"/>
        <v>0.805235745614035</v>
      </c>
      <c r="G75" s="14">
        <f t="shared" si="3"/>
        <v>48.12663829787234</v>
      </c>
      <c r="H75" s="14">
        <f t="shared" si="5"/>
        <v>556.1243456185653</v>
      </c>
      <c r="I75" s="14">
        <f t="shared" si="7"/>
        <v>3139.9265140223915</v>
      </c>
    </row>
    <row r="76" spans="2:9" ht="12.75">
      <c r="B76" s="4">
        <f t="shared" si="6"/>
        <v>7</v>
      </c>
      <c r="C76" s="5">
        <f t="shared" si="4"/>
        <v>36.51644736842105</v>
      </c>
      <c r="D76" s="5">
        <f t="shared" si="0"/>
        <v>4.7368421052631575</v>
      </c>
      <c r="E76" s="5">
        <f t="shared" si="1"/>
        <v>5.921052631578947</v>
      </c>
      <c r="F76" s="13">
        <f t="shared" si="2"/>
        <v>0.770970394736842</v>
      </c>
      <c r="G76" s="14">
        <f t="shared" si="3"/>
        <v>47.364266666666666</v>
      </c>
      <c r="H76" s="14">
        <f t="shared" si="5"/>
        <v>662.923384065747</v>
      </c>
      <c r="I76" s="14">
        <f t="shared" si="7"/>
        <v>4503.335159064056</v>
      </c>
    </row>
    <row r="77" spans="2:9" ht="12.75">
      <c r="B77" s="4">
        <f t="shared" si="6"/>
        <v>8</v>
      </c>
      <c r="C77" s="5">
        <f t="shared" si="4"/>
        <v>34.27960526315789</v>
      </c>
      <c r="D77" s="5">
        <f t="shared" si="0"/>
        <v>4.526315789473683</v>
      </c>
      <c r="E77" s="5">
        <f t="shared" si="1"/>
        <v>5.657894736842104</v>
      </c>
      <c r="F77" s="13">
        <f t="shared" si="2"/>
        <v>0.736705043859649</v>
      </c>
      <c r="G77" s="14">
        <f t="shared" si="3"/>
        <v>46.53097674418605</v>
      </c>
      <c r="H77" s="14">
        <f t="shared" si="5"/>
        <v>767.9378010384112</v>
      </c>
      <c r="I77" s="14">
        <f t="shared" si="7"/>
        <v>6103.640431877917</v>
      </c>
    </row>
    <row r="78" spans="2:9" ht="12.75">
      <c r="B78" s="4">
        <f t="shared" si="6"/>
        <v>9</v>
      </c>
      <c r="C78" s="5">
        <f t="shared" si="4"/>
        <v>32.04276315789473</v>
      </c>
      <c r="D78" s="5">
        <f t="shared" si="0"/>
        <v>4.315789473684211</v>
      </c>
      <c r="E78" s="5">
        <f t="shared" si="1"/>
        <v>5.394736842105264</v>
      </c>
      <c r="F78" s="13">
        <f t="shared" si="2"/>
        <v>0.7024396929824561</v>
      </c>
      <c r="G78" s="14">
        <f t="shared" si="3"/>
        <v>45.61639024390244</v>
      </c>
      <c r="H78" s="14">
        <f t="shared" si="5"/>
        <v>870.9973562224575</v>
      </c>
      <c r="I78" s="14">
        <f t="shared" si="7"/>
        <v>7936.66001565652</v>
      </c>
    </row>
    <row r="79" spans="2:9" ht="12.75">
      <c r="B79" s="4">
        <f t="shared" si="6"/>
        <v>10</v>
      </c>
      <c r="C79" s="5">
        <f t="shared" si="4"/>
        <v>29.805921052631575</v>
      </c>
      <c r="D79" s="5">
        <f t="shared" si="0"/>
        <v>4.105263157894736</v>
      </c>
      <c r="E79" s="5">
        <f t="shared" si="1"/>
        <v>5.13157894736842</v>
      </c>
      <c r="F79" s="13">
        <f t="shared" si="2"/>
        <v>0.668174342105263</v>
      </c>
      <c r="G79" s="14">
        <f t="shared" si="3"/>
        <v>44.608000000000004</v>
      </c>
      <c r="H79" s="14">
        <f t="shared" si="5"/>
        <v>971.9062137320852</v>
      </c>
      <c r="I79" s="14">
        <f t="shared" si="7"/>
        <v>9997.802166263575</v>
      </c>
    </row>
    <row r="80" spans="2:9" ht="12.75">
      <c r="B80" s="4">
        <f t="shared" si="6"/>
        <v>11</v>
      </c>
      <c r="C80" s="5">
        <f t="shared" si="4"/>
        <v>27.569078947368418</v>
      </c>
      <c r="D80" s="5">
        <f t="shared" si="0"/>
        <v>3.894736842105263</v>
      </c>
      <c r="E80" s="5">
        <f t="shared" si="1"/>
        <v>4.868421052631579</v>
      </c>
      <c r="F80" s="13">
        <f t="shared" si="2"/>
        <v>0.6339089912280701</v>
      </c>
      <c r="G80" s="14">
        <f t="shared" si="3"/>
        <v>43.4905945945946</v>
      </c>
      <c r="H80" s="14">
        <f t="shared" si="5"/>
        <v>1070.4375366339345</v>
      </c>
      <c r="I80" s="14">
        <f t="shared" si="7"/>
        <v>12282.002413383465</v>
      </c>
    </row>
    <row r="81" spans="2:9" ht="12.75">
      <c r="B81" s="4">
        <f t="shared" si="6"/>
        <v>12</v>
      </c>
      <c r="C81" s="5">
        <f t="shared" si="4"/>
        <v>25.33223684210526</v>
      </c>
      <c r="D81" s="5">
        <f t="shared" si="0"/>
        <v>3.6842105263157894</v>
      </c>
      <c r="E81" s="5">
        <f t="shared" si="1"/>
        <v>4.605263157894736</v>
      </c>
      <c r="F81" s="13">
        <f t="shared" si="2"/>
        <v>0.5996436403508771</v>
      </c>
      <c r="G81" s="14">
        <f t="shared" si="3"/>
        <v>42.245485714285714</v>
      </c>
      <c r="H81" s="14">
        <f t="shared" si="5"/>
        <v>1166.326573821498</v>
      </c>
      <c r="I81" s="14">
        <f t="shared" si="7"/>
        <v>14783.646484287567</v>
      </c>
    </row>
    <row r="82" spans="2:9" ht="12.75">
      <c r="B82" s="4">
        <f t="shared" si="6"/>
        <v>13</v>
      </c>
      <c r="C82" s="5">
        <f t="shared" si="4"/>
        <v>23.095394736842103</v>
      </c>
      <c r="D82" s="5">
        <f t="shared" si="0"/>
        <v>3.4736842105263155</v>
      </c>
      <c r="E82" s="5">
        <f t="shared" si="1"/>
        <v>4.342105263157895</v>
      </c>
      <c r="F82" s="13">
        <f t="shared" si="2"/>
        <v>0.5653782894736842</v>
      </c>
      <c r="G82" s="14">
        <f t="shared" si="3"/>
        <v>40.84945454545454</v>
      </c>
      <c r="H82" s="14">
        <f t="shared" si="5"/>
        <v>1259.2617043751547</v>
      </c>
      <c r="I82" s="14">
        <f t="shared" si="7"/>
        <v>17496.475479639084</v>
      </c>
    </row>
    <row r="83" spans="2:9" ht="12.75">
      <c r="B83" s="4">
        <f t="shared" si="6"/>
        <v>14</v>
      </c>
      <c r="C83" s="5">
        <f t="shared" si="4"/>
        <v>20.858552631578945</v>
      </c>
      <c r="D83" s="5">
        <f t="shared" si="0"/>
        <v>3.2631578947368416</v>
      </c>
      <c r="E83" s="5">
        <f t="shared" si="1"/>
        <v>4.078947368421052</v>
      </c>
      <c r="F83" s="13">
        <f t="shared" si="2"/>
        <v>0.5311129385964911</v>
      </c>
      <c r="G83" s="14">
        <f t="shared" si="3"/>
        <v>39.27329032258065</v>
      </c>
      <c r="H83" s="14">
        <f t="shared" si="5"/>
        <v>1348.8726690301942</v>
      </c>
      <c r="I83" s="14">
        <f t="shared" si="7"/>
        <v>20413.467870947698</v>
      </c>
    </row>
    <row r="84" spans="2:9" ht="12.75">
      <c r="B84" s="4">
        <f t="shared" si="6"/>
        <v>15</v>
      </c>
      <c r="C84" s="5">
        <f t="shared" si="4"/>
        <v>18.621710526315788</v>
      </c>
      <c r="D84" s="5">
        <f t="shared" si="0"/>
        <v>3.052631578947368</v>
      </c>
      <c r="E84" s="5">
        <f t="shared" si="1"/>
        <v>3.81578947368421</v>
      </c>
      <c r="F84" s="13">
        <f t="shared" si="2"/>
        <v>0.49684758771929816</v>
      </c>
      <c r="G84" s="14">
        <f t="shared" si="3"/>
        <v>37.479724137931036</v>
      </c>
      <c r="H84" s="14">
        <f t="shared" si="5"/>
        <v>1434.7148562557663</v>
      </c>
      <c r="I84" s="14">
        <f t="shared" si="7"/>
        <v>23526.690761070153</v>
      </c>
    </row>
    <row r="85" spans="2:11" ht="12.75">
      <c r="B85" s="4">
        <f t="shared" si="6"/>
        <v>16</v>
      </c>
      <c r="C85" s="5">
        <f t="shared" si="4"/>
        <v>16.38486842105263</v>
      </c>
      <c r="D85" s="5">
        <f t="shared" si="0"/>
        <v>2.8421052631578947</v>
      </c>
      <c r="E85" s="5">
        <f t="shared" si="1"/>
        <v>3.552631578947368</v>
      </c>
      <c r="F85" s="13">
        <f t="shared" si="2"/>
        <v>0.46258223684210525</v>
      </c>
      <c r="G85" s="14">
        <f t="shared" si="3"/>
        <v>35.42044444444444</v>
      </c>
      <c r="H85" s="14">
        <f t="shared" si="5"/>
        <v>1516.2479395386863</v>
      </c>
      <c r="I85" s="14">
        <f t="shared" si="7"/>
        <v>26827.109677419212</v>
      </c>
      <c r="K85" s="15"/>
    </row>
    <row r="86" spans="2:9" ht="12.75">
      <c r="B86" s="4">
        <f t="shared" si="6"/>
        <v>17</v>
      </c>
      <c r="C86" s="5">
        <f t="shared" si="4"/>
        <v>14.148026315789473</v>
      </c>
      <c r="D86" s="5">
        <f t="shared" si="0"/>
        <v>2.631578947368421</v>
      </c>
      <c r="E86" s="5">
        <f t="shared" si="1"/>
        <v>3.289473684210526</v>
      </c>
      <c r="F86" s="13">
        <f t="shared" si="2"/>
        <v>0.42831688596491224</v>
      </c>
      <c r="G86" s="14">
        <f t="shared" si="3"/>
        <v>33.03168</v>
      </c>
      <c r="H86" s="14">
        <f t="shared" si="5"/>
        <v>1592.8062366147096</v>
      </c>
      <c r="I86" s="14">
        <f t="shared" si="7"/>
        <v>30304.341321801297</v>
      </c>
    </row>
    <row r="87" spans="2:9" ht="12.75">
      <c r="B87" s="4">
        <f t="shared" si="6"/>
        <v>18</v>
      </c>
      <c r="C87" s="5">
        <f t="shared" si="4"/>
        <v>11.911184210526315</v>
      </c>
      <c r="D87" s="5">
        <f t="shared" si="0"/>
        <v>2.4210526315789473</v>
      </c>
      <c r="E87" s="5">
        <f t="shared" si="1"/>
        <v>3.026315789473684</v>
      </c>
      <c r="F87" s="13">
        <f t="shared" si="2"/>
        <v>0.3940515350877193</v>
      </c>
      <c r="G87" s="14">
        <f t="shared" si="3"/>
        <v>30.227478260869564</v>
      </c>
      <c r="H87" s="14">
        <f t="shared" si="5"/>
        <v>1663.556610985419</v>
      </c>
      <c r="I87" s="14">
        <f t="shared" si="7"/>
        <v>33946.3260855646</v>
      </c>
    </row>
    <row r="88" spans="2:9" ht="12.75">
      <c r="B88" s="4">
        <f t="shared" si="6"/>
        <v>19</v>
      </c>
      <c r="C88" s="5">
        <f t="shared" si="4"/>
        <v>9.674342105263158</v>
      </c>
      <c r="D88" s="5">
        <f t="shared" si="0"/>
        <v>2.2105263157894735</v>
      </c>
      <c r="E88" s="5">
        <f t="shared" si="1"/>
        <v>2.7631578947368416</v>
      </c>
      <c r="F88" s="13">
        <f t="shared" si="2"/>
        <v>0.35978618421052627</v>
      </c>
      <c r="G88" s="14">
        <f t="shared" si="3"/>
        <v>26.889142857142858</v>
      </c>
      <c r="H88" s="14">
        <f t="shared" si="5"/>
        <v>1727.4370424989854</v>
      </c>
      <c r="I88" s="14">
        <f t="shared" si="7"/>
        <v>37738.88477696163</v>
      </c>
    </row>
    <row r="89" spans="2:9" ht="12.75">
      <c r="B89" s="4">
        <f t="shared" si="6"/>
        <v>20</v>
      </c>
      <c r="C89" s="5">
        <f>H65</f>
        <v>7.4375</v>
      </c>
      <c r="D89" s="5">
        <f t="shared" si="0"/>
        <v>2</v>
      </c>
      <c r="E89" s="5">
        <f t="shared" si="1"/>
        <v>2.5</v>
      </c>
      <c r="F89" s="13">
        <f t="shared" si="2"/>
        <v>0.3255208333333333</v>
      </c>
      <c r="G89" s="14">
        <f t="shared" si="3"/>
        <v>22.848000000000003</v>
      </c>
      <c r="H89" s="14">
        <f t="shared" si="5"/>
        <v>1783.0641101681583</v>
      </c>
      <c r="I89" s="14">
        <f t="shared" si="7"/>
        <v>41665.10317139199</v>
      </c>
    </row>
    <row r="90" spans="2:9" ht="12.75">
      <c r="B90" s="4">
        <v>21</v>
      </c>
      <c r="C90" s="4">
        <v>0</v>
      </c>
      <c r="D90" s="5">
        <f>D46</f>
        <v>2</v>
      </c>
      <c r="E90" s="5">
        <f t="shared" si="1"/>
        <v>2.5</v>
      </c>
      <c r="F90" s="13">
        <f t="shared" si="2"/>
        <v>0.3255208333333333</v>
      </c>
      <c r="G90" s="4">
        <f t="shared" si="3"/>
        <v>0</v>
      </c>
      <c r="H90" s="14">
        <f t="shared" si="5"/>
        <v>1868.0301101681584</v>
      </c>
      <c r="I90" s="14">
        <f t="shared" si="7"/>
        <v>55242.60980326767</v>
      </c>
    </row>
    <row r="91" ht="12.75">
      <c r="B91" s="1" t="s">
        <v>64</v>
      </c>
    </row>
    <row r="92" spans="2:12" ht="12.75">
      <c r="B92" s="1" t="s">
        <v>153</v>
      </c>
      <c r="F92" s="15">
        <f>D41*(D35+D38)/(2*F70)</f>
        <v>385.0240000000001</v>
      </c>
      <c r="H92" s="1" t="s">
        <v>57</v>
      </c>
      <c r="K92" s="20">
        <f>ACOS(D35/(D37))</f>
        <v>1.0808390005411683</v>
      </c>
      <c r="L92" s="1" t="s">
        <v>58</v>
      </c>
    </row>
    <row r="93" spans="2:12" ht="12.75">
      <c r="B93" s="1" t="s">
        <v>154</v>
      </c>
      <c r="F93" s="1">
        <f>(D35+D38)*D43/(3*F70)</f>
        <v>120.32000000000004</v>
      </c>
      <c r="H93" s="1" t="s">
        <v>90</v>
      </c>
      <c r="K93" s="6">
        <f>3.6*(C30/C31)^0.5</f>
        <v>13.957919952907192</v>
      </c>
      <c r="L93" s="1" t="s">
        <v>9</v>
      </c>
    </row>
    <row r="94" spans="2:11" ht="12.75">
      <c r="B94" s="1" t="s">
        <v>42</v>
      </c>
      <c r="F94" s="15">
        <f>I90</f>
        <v>55242.60980326767</v>
      </c>
      <c r="K94" s="2"/>
    </row>
    <row r="96" ht="12.75">
      <c r="B96" s="16" t="s">
        <v>72</v>
      </c>
    </row>
    <row r="97" spans="2:13" ht="12.75">
      <c r="B97" s="7" t="s">
        <v>60</v>
      </c>
      <c r="E97" s="4">
        <f>H60/100</f>
        <v>0.9</v>
      </c>
      <c r="F97" s="4">
        <v>3</v>
      </c>
      <c r="G97" s="4">
        <v>5</v>
      </c>
      <c r="H97" s="17">
        <f>D53</f>
        <v>3.136693592238749</v>
      </c>
      <c r="I97" s="17">
        <f>E53</f>
        <v>3.3439711778881485</v>
      </c>
      <c r="J97" s="1" t="s">
        <v>62</v>
      </c>
      <c r="M97" s="19">
        <f>(G98-F98)/(G107-F107)</f>
        <v>1.255664767643171</v>
      </c>
    </row>
    <row r="98" spans="2:13" ht="12.75">
      <c r="B98" s="7" t="s">
        <v>61</v>
      </c>
      <c r="E98" s="14">
        <f>$C$30/2*E97</f>
        <v>1035</v>
      </c>
      <c r="F98" s="14">
        <f>$C$30/2*F97</f>
        <v>3450</v>
      </c>
      <c r="G98" s="14">
        <f>$C$30/2*G97</f>
        <v>5750</v>
      </c>
      <c r="H98" s="14">
        <f>$C$30/2*H97</f>
        <v>3607.1976310745613</v>
      </c>
      <c r="I98" s="14">
        <f>$C$30/2*I97</f>
        <v>3845.5668545713706</v>
      </c>
      <c r="J98" s="1" t="s">
        <v>66</v>
      </c>
      <c r="M98" s="19">
        <f>G98-M97*G107</f>
        <v>-22072.419611471647</v>
      </c>
    </row>
    <row r="99" spans="2:13" ht="12.75">
      <c r="B99" s="7" t="s">
        <v>45</v>
      </c>
      <c r="E99" s="5">
        <f>IF(E98/(2.25*($G$30*$G$32)^0.5*(2+$G$33))&gt;($G$30-$G$31)/2,($G$30-$G$31)/2,E98/(2.25*($G$30*$G$32)^0.5*(2+$G$33)))</f>
        <v>1.2212595013707706</v>
      </c>
      <c r="F99" s="5">
        <f>IF(F98/(2.25*($G$30*$G$32)^0.5*(2+$G$33))&gt;($G$30-$G$31)/2,($G$30-$G$31)/2,F98/(2.25*($G$30*$G$32)^0.5*(2+$G$33)))</f>
        <v>4.070865004569235</v>
      </c>
      <c r="G99" s="5">
        <f>IF(G98/(2.25*($G$30*$G$32)^0.5*(2+$G$33))&gt;($G$30-$G$31)/2,($G$30-$G$31)/2,G98/(2.25*($G$30*$G$32)^0.5*(2+$G$33)))</f>
        <v>4.1875</v>
      </c>
      <c r="H99" s="5">
        <f>IF(H98/(2.25*($G$30*$G$32)^0.5*(2+$G$33))&gt;($G$30-$G$31)/2,($G$30-$G$31)/2,H98/(2.25*($G$30*$G$32)^0.5*(2+$G$33)))</f>
        <v>4.1875</v>
      </c>
      <c r="I99" s="5">
        <f>IF(I98/(2.25*($G$30*$G$32)^0.5*(2+$G$33))&gt;($G$30-$G$31)/2,($G$30-$G$31)/2,I98/(2.25*($G$30*$G$32)^0.5*(2+$G$33)))</f>
        <v>4.1875</v>
      </c>
      <c r="J99" s="21" t="s">
        <v>67</v>
      </c>
      <c r="K99" s="18"/>
      <c r="M99" s="24">
        <f>(G98-F98)/(G111-F111)</f>
        <v>0.08792156771662701</v>
      </c>
    </row>
    <row r="100" spans="2:13" ht="12.75">
      <c r="B100" s="7" t="s">
        <v>50</v>
      </c>
      <c r="E100" s="14">
        <f>E98*($D$35+$D$38)/($D$37+$H$65)</f>
        <v>487.05882352941177</v>
      </c>
      <c r="F100" s="14">
        <f>F98*($D$35+$D$38)/($D$37+$H$65)</f>
        <v>1623.5294117647059</v>
      </c>
      <c r="G100" s="14">
        <f>G98*($D$35+$D$38)/($D$37+$H$65)</f>
        <v>2705.8823529411766</v>
      </c>
      <c r="H100" s="14">
        <f>H98*($D$35+$D$38)/($D$37+$H$65)</f>
        <v>1697.5047675644996</v>
      </c>
      <c r="I100" s="14">
        <f>I98*($D$35+$D$38)/($D$37+$H$65)</f>
        <v>1809.678519798292</v>
      </c>
      <c r="J100" s="21" t="s">
        <v>68</v>
      </c>
      <c r="M100" s="24">
        <f>G98-M99*G111</f>
        <v>1809.1124537980113</v>
      </c>
    </row>
    <row r="101" spans="2:14" ht="12.75">
      <c r="B101" s="7" t="s">
        <v>48</v>
      </c>
      <c r="E101" s="17">
        <f>$F$94*E100/$K$38</f>
        <v>2.562514337092752</v>
      </c>
      <c r="F101" s="17">
        <f>$F$94*F100/$K$38</f>
        <v>8.541714456975841</v>
      </c>
      <c r="G101" s="17">
        <f>$F$94*G100/$K$38</f>
        <v>14.236190761626403</v>
      </c>
      <c r="H101" s="17">
        <f>$F$94*H100/$K$38</f>
        <v>8.930913667976402</v>
      </c>
      <c r="I101" s="17">
        <f>$F$94*I100/$K$38</f>
        <v>9.521082317959243</v>
      </c>
      <c r="J101" s="8" t="s">
        <v>71</v>
      </c>
      <c r="M101" s="15">
        <f>(M100-M98)/(M97-M99)</f>
        <v>20451.013601939114</v>
      </c>
      <c r="N101" s="1" t="s">
        <v>70</v>
      </c>
    </row>
    <row r="102" spans="2:9" ht="12.75">
      <c r="B102" s="7" t="s">
        <v>53</v>
      </c>
      <c r="E102" s="17">
        <f>IF($D$40=1,E98/$K$38*$F$92*($D$37+$H$65),E98/$K$38*$F$93*($D$37+$H$65))</f>
        <v>1.8952462628571434</v>
      </c>
      <c r="F102" s="17">
        <f>IF($D$40=1,F98/$K$38*$F$92*($D$37+$H$65),F98/$K$38*$F$93*($D$37+$H$65))</f>
        <v>6.317487542857145</v>
      </c>
      <c r="G102" s="17">
        <f>IF($D$40=1,G98/$K$38*$F$92*($D$37+$H$65),G98/$K$38*$F$93*($D$37+$H$65))</f>
        <v>10.52914590476191</v>
      </c>
      <c r="H102" s="17">
        <f>IF($D$40=1,H98/$K$38*$F$92*($D$37+$H$65),H98/$K$38*$F$93*($D$37+$H$65))</f>
        <v>6.605340898242708</v>
      </c>
      <c r="I102" s="17">
        <f>IF($D$40=1,I98/$K$38*$F$92*($D$37+$H$65),I98/$K$38*$F$93*($D$37+$H$65))</f>
        <v>7.04183208666057</v>
      </c>
    </row>
    <row r="103" spans="2:14" ht="12.75">
      <c r="B103" s="7" t="s">
        <v>51</v>
      </c>
      <c r="E103" s="17">
        <f>E101+E102</f>
        <v>4.4577605999498955</v>
      </c>
      <c r="F103" s="17">
        <f>F101+F102</f>
        <v>14.859201999832987</v>
      </c>
      <c r="G103" s="17">
        <f>G101+G102</f>
        <v>24.765336666388315</v>
      </c>
      <c r="H103" s="17">
        <f>H101+H102</f>
        <v>15.53625456621911</v>
      </c>
      <c r="I103" s="17">
        <f>I101+I102</f>
        <v>16.56291440461981</v>
      </c>
      <c r="J103" s="1" t="s">
        <v>80</v>
      </c>
      <c r="M103" s="1">
        <f>K40+M104*0.5</f>
        <v>103390</v>
      </c>
      <c r="N103" s="1" t="s">
        <v>10</v>
      </c>
    </row>
    <row r="104" spans="2:14" ht="12.75">
      <c r="B104" s="7" t="s">
        <v>52</v>
      </c>
      <c r="E104" s="17">
        <f>$I$49</f>
        <v>8.663867020375218</v>
      </c>
      <c r="F104" s="17">
        <f>$I$49</f>
        <v>8.663867020375218</v>
      </c>
      <c r="G104" s="17">
        <f>$I$49</f>
        <v>8.663867020375218</v>
      </c>
      <c r="H104" s="17">
        <f>$I$49</f>
        <v>8.663867020375218</v>
      </c>
      <c r="I104" s="17">
        <f>$I$49</f>
        <v>8.663867020375218</v>
      </c>
      <c r="J104" s="1" t="s">
        <v>13</v>
      </c>
      <c r="M104" s="1">
        <f>0.954*K40</f>
        <v>66780</v>
      </c>
      <c r="N104" s="1" t="s">
        <v>14</v>
      </c>
    </row>
    <row r="105" spans="2:14" ht="12.75">
      <c r="B105" s="7" t="s">
        <v>54</v>
      </c>
      <c r="E105" s="14">
        <f>$C$30/64.4*E104^2*6</f>
        <v>16084.841088588288</v>
      </c>
      <c r="F105" s="14">
        <f>$C$30/64.4*F104^2*6</f>
        <v>16084.841088588288</v>
      </c>
      <c r="G105" s="14">
        <f>F105</f>
        <v>16084.841088588288</v>
      </c>
      <c r="H105" s="14">
        <f>$C$30/64.4*H104^2*6</f>
        <v>16084.841088588288</v>
      </c>
      <c r="I105" s="14">
        <f>H105</f>
        <v>16084.841088588288</v>
      </c>
      <c r="M105" s="4" t="s">
        <v>144</v>
      </c>
      <c r="N105" s="12" t="s">
        <v>145</v>
      </c>
    </row>
    <row r="106" spans="2:14" ht="12.75">
      <c r="B106" s="7" t="s">
        <v>55</v>
      </c>
      <c r="E106" s="14">
        <f>$C$30/6*(E99+(E101+E102)*COS($K$92))</f>
        <v>1272.2945249281881</v>
      </c>
      <c r="F106" s="14">
        <f>$C$30/6*(F99+(F101+F102)*COS($K$92))</f>
        <v>4240.981749760627</v>
      </c>
      <c r="G106" s="14">
        <f>$C$30/6*(G99+(G101+G102)*COS($K$92))</f>
        <v>6072.680830015146</v>
      </c>
      <c r="H106" s="14">
        <f>$C$30/6*(H99+(H101+H102)*COS($K$92))</f>
        <v>4407.826804102271</v>
      </c>
      <c r="I106" s="14">
        <f>$C$30/6*(I99+(I101+I102)*COS($K$92))</f>
        <v>4593.028186715731</v>
      </c>
      <c r="J106" s="8" t="s">
        <v>65</v>
      </c>
      <c r="K106" s="8"/>
      <c r="M106" s="14">
        <f>D52*($D$35+$D$38)*$D$44/(2*$F$70)</f>
        <v>54252.252371361414</v>
      </c>
      <c r="N106" s="14">
        <f>E52*($D$35+$D$38)*$D$44/(2*$F$70)</f>
        <v>57837.32549275343</v>
      </c>
    </row>
    <row r="107" spans="2:14" ht="12.75">
      <c r="B107" s="7" t="s">
        <v>59</v>
      </c>
      <c r="E107" s="14">
        <f>E105+E106</f>
        <v>17357.135613516475</v>
      </c>
      <c r="F107" s="14">
        <f>F105+F106</f>
        <v>20325.822838348915</v>
      </c>
      <c r="G107" s="14">
        <f>G105+G106</f>
        <v>22157.521918603434</v>
      </c>
      <c r="H107" s="14">
        <f>H105+H106</f>
        <v>20492.66789269056</v>
      </c>
      <c r="I107" s="14">
        <f>I105+I106</f>
        <v>20677.86927530402</v>
      </c>
      <c r="J107" s="4"/>
      <c r="K107" s="4"/>
      <c r="L107" s="4"/>
      <c r="M107" s="4"/>
      <c r="N107" s="12"/>
    </row>
    <row r="108" spans="2:15" ht="12.75">
      <c r="B108" s="7" t="s">
        <v>161</v>
      </c>
      <c r="E108" s="14">
        <f>1.44*E105</f>
        <v>23162.171167567132</v>
      </c>
      <c r="F108" s="14">
        <f>1.44*F105</f>
        <v>23162.171167567132</v>
      </c>
      <c r="G108" s="14">
        <f>1.44*G105</f>
        <v>23162.171167567132</v>
      </c>
      <c r="H108" s="14">
        <f>1.44*H105</f>
        <v>23162.171167567132</v>
      </c>
      <c r="I108" s="14">
        <f>1.44*I105</f>
        <v>23162.171167567132</v>
      </c>
      <c r="J108" s="7" t="s">
        <v>151</v>
      </c>
      <c r="K108" s="75">
        <f>D41</f>
        <v>32</v>
      </c>
      <c r="L108" s="23"/>
      <c r="M108" s="4"/>
      <c r="N108" s="12"/>
      <c r="O108" s="12"/>
    </row>
    <row r="109" spans="2:15" ht="12.75">
      <c r="B109" s="7" t="s">
        <v>46</v>
      </c>
      <c r="E109" s="14">
        <f>0.47*E99*E98</f>
        <v>594.0816844418113</v>
      </c>
      <c r="F109" s="14">
        <f>0.47*F99*F98</f>
        <v>6600.9076049090145</v>
      </c>
      <c r="G109" s="14">
        <f>0.47*G99*G98</f>
        <v>11316.71875</v>
      </c>
      <c r="H109" s="14">
        <f>0.47*H99*H98</f>
        <v>7099.41583765862</v>
      </c>
      <c r="I109" s="14">
        <f>0.47*I99*I98</f>
        <v>7568.556265653278</v>
      </c>
      <c r="J109" s="74" t="s">
        <v>152</v>
      </c>
      <c r="K109" s="75">
        <f>D35+D38</f>
        <v>23.5</v>
      </c>
      <c r="L109" s="5"/>
      <c r="M109" s="14"/>
      <c r="N109" s="22"/>
      <c r="O109" s="4"/>
    </row>
    <row r="110" spans="2:15" ht="12.75">
      <c r="B110" s="7" t="s">
        <v>49</v>
      </c>
      <c r="E110" s="14">
        <f>E100*E103/2</f>
        <v>1085.5958166936805</v>
      </c>
      <c r="F110" s="14">
        <f>F100*F103/2</f>
        <v>12062.175741040895</v>
      </c>
      <c r="G110" s="14">
        <f>G100*G103/2</f>
        <v>33506.0437251136</v>
      </c>
      <c r="H110" s="14">
        <f>H100*H103/2</f>
        <v>13186.433098126334</v>
      </c>
      <c r="I110" s="14">
        <f>I100*I103/2</f>
        <v>14986.775211649094</v>
      </c>
      <c r="J110" s="8" t="s">
        <v>150</v>
      </c>
      <c r="K110" s="75">
        <f>K108+K109</f>
        <v>55.5</v>
      </c>
      <c r="L110" s="5"/>
      <c r="M110" s="14"/>
      <c r="N110" s="22"/>
      <c r="O110" s="4"/>
    </row>
    <row r="111" spans="2:15" ht="12.75">
      <c r="B111" s="7" t="s">
        <v>56</v>
      </c>
      <c r="E111" s="14">
        <f>E110+E109</f>
        <v>1679.6775011354916</v>
      </c>
      <c r="F111" s="14">
        <f>F110+F109</f>
        <v>18663.08334594991</v>
      </c>
      <c r="G111" s="14">
        <f>G110+G109</f>
        <v>44822.7624751136</v>
      </c>
      <c r="H111" s="14">
        <f>H110+H109</f>
        <v>20285.848935784954</v>
      </c>
      <c r="I111" s="14">
        <f>I110+I109</f>
        <v>22555.331477302374</v>
      </c>
      <c r="J111" s="12"/>
      <c r="K111" s="14"/>
      <c r="L111" s="5"/>
      <c r="M111" s="14"/>
      <c r="N111" s="22"/>
      <c r="O111" s="4"/>
    </row>
    <row r="112" spans="2:9" ht="12.75">
      <c r="B112" s="7" t="s">
        <v>92</v>
      </c>
      <c r="E112" s="5">
        <f>E99+E103*COS($K$92)</f>
        <v>3.319029195464839</v>
      </c>
      <c r="F112" s="5"/>
      <c r="G112" s="5"/>
      <c r="H112" s="5">
        <f>H99+H103*COS($K$92)</f>
        <v>11.498678619397229</v>
      </c>
      <c r="I112" s="5">
        <f>I99+I103*COS($K$92)</f>
        <v>11.981812660997559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5"/>
  <sheetViews>
    <sheetView tabSelected="1" zoomScale="75" zoomScaleNormal="75" workbookViewId="0" topLeftCell="A29">
      <selection activeCell="D42" sqref="D42"/>
    </sheetView>
  </sheetViews>
  <sheetFormatPr defaultColWidth="9.140625" defaultRowHeight="12.75"/>
  <cols>
    <col min="1" max="1" width="10.28125" style="1" customWidth="1"/>
    <col min="2" max="2" width="12.7109375" style="1" customWidth="1"/>
    <col min="3" max="3" width="15.7109375" style="1" customWidth="1"/>
    <col min="4" max="4" width="10.57421875" style="1" customWidth="1"/>
    <col min="5" max="5" width="10.28125" style="1" customWidth="1"/>
    <col min="6" max="6" width="9.28125" style="1" customWidth="1"/>
    <col min="7" max="7" width="10.28125" style="1" customWidth="1"/>
    <col min="8" max="8" width="11.421875" style="1" customWidth="1"/>
    <col min="9" max="9" width="11.00390625" style="1" customWidth="1"/>
    <col min="10" max="10" width="11.7109375" style="1" customWidth="1"/>
    <col min="11" max="11" width="11.00390625" style="1" customWidth="1"/>
    <col min="12" max="13" width="10.28125" style="1" customWidth="1"/>
    <col min="14" max="14" width="10.8515625" style="1" customWidth="1"/>
    <col min="15" max="15" width="11.140625" style="1" customWidth="1"/>
    <col min="16" max="16" width="13.7109375" style="1" customWidth="1"/>
    <col min="17" max="17" width="17.28125" style="1" bestFit="1" customWidth="1"/>
    <col min="18" max="16384" width="9.140625" style="1" customWidth="1"/>
  </cols>
  <sheetData>
    <row r="1" ht="12.75">
      <c r="A1" s="3" t="s">
        <v>0</v>
      </c>
    </row>
    <row r="2" ht="12.75">
      <c r="A2" s="9" t="s">
        <v>27</v>
      </c>
    </row>
    <row r="3" ht="12.75">
      <c r="A3" s="9" t="s">
        <v>130</v>
      </c>
    </row>
    <row r="4" ht="12.75">
      <c r="A4" s="3" t="s">
        <v>125</v>
      </c>
    </row>
    <row r="5" ht="12.75">
      <c r="A5" s="16" t="s">
        <v>93</v>
      </c>
    </row>
    <row r="6" ht="12.75">
      <c r="A6" s="9" t="s">
        <v>25</v>
      </c>
    </row>
    <row r="7" ht="12.75">
      <c r="A7" s="9" t="s">
        <v>26</v>
      </c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spans="2:9" ht="12.75">
      <c r="B29" s="3" t="s">
        <v>83</v>
      </c>
      <c r="E29" s="3" t="s">
        <v>8</v>
      </c>
      <c r="I29" s="3" t="s">
        <v>109</v>
      </c>
    </row>
    <row r="30" spans="2:13" ht="12.75">
      <c r="B30" s="27" t="s">
        <v>1</v>
      </c>
      <c r="C30" s="28">
        <v>1850</v>
      </c>
      <c r="D30" s="34" t="s">
        <v>2</v>
      </c>
      <c r="E30" s="27" t="s">
        <v>6</v>
      </c>
      <c r="F30" s="34"/>
      <c r="G30" s="28">
        <v>16.375</v>
      </c>
      <c r="H30" s="29" t="s">
        <v>9</v>
      </c>
      <c r="I30" s="27"/>
      <c r="J30" s="34"/>
      <c r="K30" s="62" t="s">
        <v>113</v>
      </c>
      <c r="L30" s="62" t="s">
        <v>116</v>
      </c>
      <c r="M30" s="50" t="s">
        <v>119</v>
      </c>
    </row>
    <row r="31" spans="2:13" ht="12.75">
      <c r="B31" s="36" t="s">
        <v>7</v>
      </c>
      <c r="C31" s="10">
        <v>153</v>
      </c>
      <c r="D31" s="26" t="s">
        <v>3</v>
      </c>
      <c r="E31" s="36" t="s">
        <v>21</v>
      </c>
      <c r="F31" s="26"/>
      <c r="G31" s="10">
        <v>8</v>
      </c>
      <c r="H31" s="37" t="s">
        <v>9</v>
      </c>
      <c r="I31" s="36"/>
      <c r="J31" s="26"/>
      <c r="K31" s="60" t="s">
        <v>114</v>
      </c>
      <c r="L31" s="60" t="s">
        <v>117</v>
      </c>
      <c r="M31" s="51" t="s">
        <v>120</v>
      </c>
    </row>
    <row r="32" spans="2:13" ht="12.75">
      <c r="B32" s="36"/>
      <c r="C32" s="26"/>
      <c r="D32" s="26"/>
      <c r="E32" s="36" t="s">
        <v>11</v>
      </c>
      <c r="F32" s="26"/>
      <c r="G32" s="10">
        <v>6</v>
      </c>
      <c r="H32" s="37" t="s">
        <v>9</v>
      </c>
      <c r="I32" s="30" t="s">
        <v>119</v>
      </c>
      <c r="J32" s="38"/>
      <c r="K32" s="64" t="s">
        <v>115</v>
      </c>
      <c r="L32" s="64" t="s">
        <v>118</v>
      </c>
      <c r="M32" s="53" t="s">
        <v>121</v>
      </c>
    </row>
    <row r="33" spans="2:13" ht="12.75">
      <c r="B33" s="30"/>
      <c r="C33" s="38"/>
      <c r="D33" s="38"/>
      <c r="E33" s="30" t="s">
        <v>29</v>
      </c>
      <c r="F33" s="38"/>
      <c r="G33" s="31">
        <v>36</v>
      </c>
      <c r="H33" s="32" t="s">
        <v>10</v>
      </c>
      <c r="I33" s="36" t="s">
        <v>111</v>
      </c>
      <c r="J33" s="26"/>
      <c r="K33" s="61">
        <v>220000</v>
      </c>
      <c r="L33" s="61">
        <v>29000000</v>
      </c>
      <c r="M33" s="66">
        <v>0.286</v>
      </c>
    </row>
    <row r="34" spans="2:13" ht="12.75">
      <c r="B34" s="3" t="s">
        <v>30</v>
      </c>
      <c r="I34" s="36" t="s">
        <v>110</v>
      </c>
      <c r="J34" s="26"/>
      <c r="K34" s="61">
        <v>70000</v>
      </c>
      <c r="L34" s="61">
        <v>10500000</v>
      </c>
      <c r="M34" s="66">
        <v>0.098</v>
      </c>
    </row>
    <row r="35" spans="2:13" ht="12.75">
      <c r="B35" s="27" t="s">
        <v>127</v>
      </c>
      <c r="C35" s="34"/>
      <c r="D35" s="41">
        <v>16</v>
      </c>
      <c r="E35" s="29" t="s">
        <v>9</v>
      </c>
      <c r="I35" s="30" t="s">
        <v>112</v>
      </c>
      <c r="J35" s="38"/>
      <c r="K35" s="63">
        <v>130000</v>
      </c>
      <c r="L35" s="63">
        <v>16000000</v>
      </c>
      <c r="M35" s="65">
        <v>0.16</v>
      </c>
    </row>
    <row r="36" spans="2:9" ht="12.75">
      <c r="B36" s="36" t="s">
        <v>126</v>
      </c>
      <c r="C36" s="26"/>
      <c r="D36" s="11">
        <v>27</v>
      </c>
      <c r="E36" s="37" t="s">
        <v>9</v>
      </c>
      <c r="I36" s="67" t="s">
        <v>122</v>
      </c>
    </row>
    <row r="37" spans="2:9" ht="12.75">
      <c r="B37" s="36" t="s">
        <v>133</v>
      </c>
      <c r="C37" s="26"/>
      <c r="D37" s="11">
        <v>-3</v>
      </c>
      <c r="E37" s="37" t="s">
        <v>9</v>
      </c>
      <c r="I37" s="3" t="s">
        <v>22</v>
      </c>
    </row>
    <row r="38" spans="2:12" ht="12.75">
      <c r="B38" s="36" t="s">
        <v>32</v>
      </c>
      <c r="C38" s="26"/>
      <c r="D38" s="11">
        <v>3.55</v>
      </c>
      <c r="E38" s="37" t="s">
        <v>9</v>
      </c>
      <c r="I38" s="27" t="s">
        <v>12</v>
      </c>
      <c r="J38" s="34"/>
      <c r="K38" s="28">
        <v>29000000</v>
      </c>
      <c r="L38" s="29" t="s">
        <v>10</v>
      </c>
    </row>
    <row r="39" spans="2:12" ht="12.75">
      <c r="B39" s="36" t="s">
        <v>97</v>
      </c>
      <c r="C39" s="26"/>
      <c r="D39" s="11">
        <v>10.5</v>
      </c>
      <c r="E39" s="37" t="s">
        <v>9</v>
      </c>
      <c r="I39" s="36" t="s">
        <v>15</v>
      </c>
      <c r="J39" s="26"/>
      <c r="K39" s="10">
        <v>220000</v>
      </c>
      <c r="L39" s="37" t="s">
        <v>10</v>
      </c>
    </row>
    <row r="40" spans="2:12" ht="12.75">
      <c r="B40" s="36" t="s">
        <v>95</v>
      </c>
      <c r="C40" s="26"/>
      <c r="D40" s="11">
        <v>1.52</v>
      </c>
      <c r="E40" s="37" t="s">
        <v>9</v>
      </c>
      <c r="I40" s="30" t="s">
        <v>16</v>
      </c>
      <c r="J40" s="38"/>
      <c r="K40" s="31">
        <v>0.286</v>
      </c>
      <c r="L40" s="32" t="s">
        <v>17</v>
      </c>
    </row>
    <row r="41" spans="2:12" ht="12.75">
      <c r="B41" s="36" t="s">
        <v>96</v>
      </c>
      <c r="C41" s="26"/>
      <c r="D41" s="11">
        <v>0.95</v>
      </c>
      <c r="E41" s="37" t="s">
        <v>9</v>
      </c>
      <c r="I41" s="30" t="s">
        <v>94</v>
      </c>
      <c r="J41" s="38"/>
      <c r="K41" s="40">
        <f>2*K40*(AVERAGE(E69:E89)*C69+D39*E69)</f>
        <v>37.27452879724741</v>
      </c>
      <c r="L41" s="32" t="s">
        <v>2</v>
      </c>
    </row>
    <row r="42" spans="2:5" ht="12.75">
      <c r="B42" s="30" t="s">
        <v>128</v>
      </c>
      <c r="C42" s="38"/>
      <c r="D42" s="68">
        <f>(D35^2+D36^2+D37^2)^0.5</f>
        <v>31.52776554086889</v>
      </c>
      <c r="E42" s="32" t="s">
        <v>9</v>
      </c>
    </row>
    <row r="44" ht="12.75">
      <c r="B44" s="3" t="s">
        <v>89</v>
      </c>
    </row>
    <row r="45" spans="2:11" ht="12.75">
      <c r="B45" s="27"/>
      <c r="C45" s="34"/>
      <c r="D45" s="42" t="s">
        <v>74</v>
      </c>
      <c r="E45" s="50" t="s">
        <v>73</v>
      </c>
      <c r="F45" s="27" t="s">
        <v>4</v>
      </c>
      <c r="G45" s="34"/>
      <c r="H45" s="34"/>
      <c r="I45" s="35">
        <f>IF(4.4*(C30/C31)^0.25&lt;7,7,IF(4.4*(C30/C31)^0.25&gt;10,10,4.4*(C30/C31)^0.25))</f>
        <v>8.204889771095784</v>
      </c>
      <c r="J45" s="34" t="s">
        <v>123</v>
      </c>
      <c r="K45" s="29"/>
    </row>
    <row r="46" spans="2:11" ht="12.75">
      <c r="B46" s="36"/>
      <c r="C46" s="26"/>
      <c r="D46" s="43" t="s">
        <v>69</v>
      </c>
      <c r="E46" s="51" t="s">
        <v>69</v>
      </c>
      <c r="F46" s="36" t="s">
        <v>4</v>
      </c>
      <c r="G46" s="26"/>
      <c r="H46" s="26"/>
      <c r="I46" s="33">
        <f>1.2*I45</f>
        <v>9.84586772531494</v>
      </c>
      <c r="J46" s="26" t="s">
        <v>124</v>
      </c>
      <c r="K46" s="37"/>
    </row>
    <row r="47" spans="2:11" ht="12.75">
      <c r="B47" s="30"/>
      <c r="C47" s="38"/>
      <c r="D47" s="48" t="s">
        <v>75</v>
      </c>
      <c r="E47" s="53" t="s">
        <v>75</v>
      </c>
      <c r="F47" s="30" t="s">
        <v>5</v>
      </c>
      <c r="G47" s="38"/>
      <c r="H47" s="38"/>
      <c r="I47" s="39">
        <f>IF(C30&lt;3000,0.25,IF(C30&gt;6000,0.33,0.25+(C30-3000)/3000*0.08))</f>
        <v>0.25</v>
      </c>
      <c r="J47" s="38"/>
      <c r="K47" s="32"/>
    </row>
    <row r="48" spans="2:8" ht="12.75">
      <c r="B48" s="27" t="s">
        <v>78</v>
      </c>
      <c r="C48" s="34"/>
      <c r="D48" s="54">
        <f>M98*M100+M99</f>
        <v>3183.8681003596585</v>
      </c>
      <c r="E48" s="54">
        <f>F107*M98+M99</f>
        <v>3463.2901570532313</v>
      </c>
      <c r="F48" s="3" t="s">
        <v>87</v>
      </c>
      <c r="H48" s="14"/>
    </row>
    <row r="49" spans="2:10" ht="12.75">
      <c r="B49" s="36" t="s">
        <v>129</v>
      </c>
      <c r="C49" s="26"/>
      <c r="D49" s="59">
        <f>D48*$I$47</f>
        <v>795.9670250899146</v>
      </c>
      <c r="E49" s="59">
        <f>E48*$I$47</f>
        <v>865.8225392633078</v>
      </c>
      <c r="F49" s="27" t="s">
        <v>88</v>
      </c>
      <c r="G49" s="34"/>
      <c r="H49" s="34"/>
      <c r="I49" s="46">
        <f>D48/(2.25*($G$30*$G$32)^0.5*(2+$G$33))</f>
        <v>3.7568397764981056</v>
      </c>
      <c r="J49" s="29" t="str">
        <f>IF(I49&gt;I50,"inches ** Value too high.  Increase tire pressure or use larger tires**","inches")</f>
        <v>inches</v>
      </c>
    </row>
    <row r="50" spans="2:10" ht="12.75">
      <c r="B50" s="36" t="s">
        <v>79</v>
      </c>
      <c r="C50" s="26"/>
      <c r="D50" s="44">
        <f>D48*2/C30</f>
        <v>3.4420195679563874</v>
      </c>
      <c r="E50" s="44">
        <f>E48/C30*2</f>
        <v>3.744097467084574</v>
      </c>
      <c r="F50" s="30" t="s">
        <v>86</v>
      </c>
      <c r="G50" s="38"/>
      <c r="H50" s="38"/>
      <c r="I50" s="47">
        <f>($G$30-$G$31)/2</f>
        <v>4.1875</v>
      </c>
      <c r="J50" s="32" t="s">
        <v>9</v>
      </c>
    </row>
    <row r="51" spans="2:5" ht="12.75">
      <c r="B51" s="36" t="s">
        <v>160</v>
      </c>
      <c r="C51" s="26"/>
      <c r="D51" s="44">
        <f>D50+0.67</f>
        <v>4.112019567956388</v>
      </c>
      <c r="E51" s="44">
        <f>E50+1</f>
        <v>4.744097467084574</v>
      </c>
    </row>
    <row r="52" spans="2:5" ht="12.75">
      <c r="B52" s="36" t="s">
        <v>132</v>
      </c>
      <c r="C52" s="26"/>
      <c r="D52" s="44">
        <f>H111</f>
        <v>8.89461457987903</v>
      </c>
      <c r="E52" s="44">
        <f>I111</f>
        <v>9.675222136808191</v>
      </c>
    </row>
    <row r="53" spans="2:5" ht="12.75">
      <c r="B53" s="30" t="s">
        <v>108</v>
      </c>
      <c r="C53" s="32"/>
      <c r="D53" s="45">
        <f>O66</f>
        <v>0.6659625259007762</v>
      </c>
      <c r="E53" s="45">
        <f>P66</f>
        <v>0.5315508380976108</v>
      </c>
    </row>
    <row r="54" spans="2:5" ht="12.75">
      <c r="B54" s="27" t="s">
        <v>91</v>
      </c>
      <c r="C54" s="34"/>
      <c r="D54" s="69">
        <f>IF(I92&lt;9.2,9.2,IF(I92&gt;18.7,18.7,I92))</f>
        <v>12.518222012448142</v>
      </c>
      <c r="E54" s="69">
        <f>1.44*D54</f>
        <v>18.026239697925323</v>
      </c>
    </row>
    <row r="55" spans="2:5" ht="12.75">
      <c r="B55" s="30" t="s">
        <v>159</v>
      </c>
      <c r="C55" s="38"/>
      <c r="D55" s="56">
        <f>$C$30*(D54+(1-2/3)*H111)/(D54+H111)</f>
        <v>1337.6893305930168</v>
      </c>
      <c r="E55" s="56">
        <f>$C$30*E54/(E54+I111)</f>
        <v>1203.8550037582397</v>
      </c>
    </row>
    <row r="56" spans="2:9" ht="12.75">
      <c r="B56" s="27" t="s">
        <v>138</v>
      </c>
      <c r="C56" s="34"/>
      <c r="D56" s="34"/>
      <c r="E56" s="34"/>
      <c r="F56" s="34"/>
      <c r="G56" s="34"/>
      <c r="H56" s="28">
        <v>90</v>
      </c>
      <c r="I56" s="29" t="s">
        <v>137</v>
      </c>
    </row>
    <row r="57" spans="2:9" ht="12.75">
      <c r="B57" s="36" t="s">
        <v>149</v>
      </c>
      <c r="C57" s="26"/>
      <c r="D57" s="26"/>
      <c r="E57" s="26"/>
      <c r="F57" s="26"/>
      <c r="G57" s="26"/>
      <c r="H57" s="71">
        <f>E111</f>
        <v>2.3257140070949642</v>
      </c>
      <c r="I57" s="37" t="s">
        <v>9</v>
      </c>
    </row>
    <row r="58" spans="2:9" ht="12.75">
      <c r="B58" s="30" t="s">
        <v>139</v>
      </c>
      <c r="C58" s="38"/>
      <c r="D58" s="38"/>
      <c r="E58" s="38"/>
      <c r="F58" s="38"/>
      <c r="G58" s="38"/>
      <c r="H58" s="72">
        <f>I111-E111</f>
        <v>7.349508129713227</v>
      </c>
      <c r="I58" s="32" t="s">
        <v>9</v>
      </c>
    </row>
    <row r="64" ht="12.75">
      <c r="B64" s="3" t="s">
        <v>77</v>
      </c>
    </row>
    <row r="65" spans="2:14" ht="12.75">
      <c r="B65" s="25" t="s">
        <v>36</v>
      </c>
      <c r="E65" s="1" t="s">
        <v>38</v>
      </c>
      <c r="L65" s="1" t="s">
        <v>147</v>
      </c>
      <c r="N65" s="1">
        <f>(D40-D41)/D42</f>
        <v>0.01807930217132321</v>
      </c>
    </row>
    <row r="66" spans="2:16" ht="12.75">
      <c r="B66" s="7"/>
      <c r="D66" s="2"/>
      <c r="I66" s="1" t="s">
        <v>101</v>
      </c>
      <c r="J66" s="14">
        <f>MAX(J69:J89)</f>
        <v>123.0199698804701</v>
      </c>
      <c r="K66" s="14">
        <f>MAX(K69:K89)</f>
        <v>208461.03908506557</v>
      </c>
      <c r="L66" s="14">
        <f>MAX(L69:L89)</f>
        <v>226755.95911490236</v>
      </c>
      <c r="N66" s="1" t="s">
        <v>143</v>
      </c>
      <c r="O66" s="5">
        <f>MIN(O69:O89)</f>
        <v>0.6659625259007762</v>
      </c>
      <c r="P66" s="5">
        <f>MIN(P69:P89)</f>
        <v>0.5315508380976108</v>
      </c>
    </row>
    <row r="67" spans="2:16" ht="12.75">
      <c r="B67" s="12" t="s">
        <v>18</v>
      </c>
      <c r="C67" s="4"/>
      <c r="D67" s="4" t="s">
        <v>99</v>
      </c>
      <c r="E67" s="4" t="s">
        <v>43</v>
      </c>
      <c r="F67" s="4" t="s">
        <v>20</v>
      </c>
      <c r="G67" s="4" t="s">
        <v>39</v>
      </c>
      <c r="H67" s="12" t="s">
        <v>24</v>
      </c>
      <c r="I67" s="4" t="s">
        <v>103</v>
      </c>
      <c r="K67" s="12" t="s">
        <v>140</v>
      </c>
      <c r="L67" s="12" t="s">
        <v>141</v>
      </c>
      <c r="M67" s="12" t="s">
        <v>140</v>
      </c>
      <c r="N67" s="12" t="s">
        <v>141</v>
      </c>
      <c r="O67" s="12" t="s">
        <v>140</v>
      </c>
      <c r="P67" s="12" t="s">
        <v>141</v>
      </c>
    </row>
    <row r="68" spans="2:16" ht="12.75">
      <c r="B68" s="12"/>
      <c r="C68" s="4" t="s">
        <v>100</v>
      </c>
      <c r="D68" s="4" t="s">
        <v>98</v>
      </c>
      <c r="E68" s="4" t="s">
        <v>44</v>
      </c>
      <c r="F68" s="4" t="s">
        <v>23</v>
      </c>
      <c r="G68" s="4" t="s">
        <v>63</v>
      </c>
      <c r="H68" s="4"/>
      <c r="I68" s="4" t="s">
        <v>24</v>
      </c>
      <c r="J68" s="4" t="s">
        <v>102</v>
      </c>
      <c r="K68" s="12" t="s">
        <v>102</v>
      </c>
      <c r="L68" s="12" t="s">
        <v>102</v>
      </c>
      <c r="M68" s="12" t="s">
        <v>136</v>
      </c>
      <c r="N68" s="12" t="s">
        <v>136</v>
      </c>
      <c r="O68" s="12" t="s">
        <v>142</v>
      </c>
      <c r="P68" s="12" t="s">
        <v>142</v>
      </c>
    </row>
    <row r="69" spans="2:16" s="4" customFormat="1" ht="12.75">
      <c r="B69" s="4">
        <v>1</v>
      </c>
      <c r="C69" s="5">
        <f>C70+$D$42/19</f>
        <v>38.522988520249186</v>
      </c>
      <c r="D69" s="5">
        <f>D40</f>
        <v>1.52</v>
      </c>
      <c r="E69" s="5">
        <f aca="true" t="shared" si="0" ref="E69:E89">PI()*D69^2/4</f>
        <v>1.8145839167134645</v>
      </c>
      <c r="F69" s="13">
        <f aca="true" t="shared" si="1" ref="F69:F89">PI()*D69^4/64</f>
        <v>0.26202591757342425</v>
      </c>
      <c r="G69" s="14">
        <f>C69/F69</f>
        <v>147.01976383482892</v>
      </c>
      <c r="H69" s="14">
        <v>0</v>
      </c>
      <c r="I69" s="14">
        <v>0</v>
      </c>
      <c r="J69" s="14">
        <f>G69*D69/2</f>
        <v>111.73502051446998</v>
      </c>
      <c r="K69" s="14">
        <f>$C$69*COS($I$91)*$D$48*$I$93*C69/$C$69*D69/(2*F69)</f>
        <v>189338.3529622802</v>
      </c>
      <c r="L69" s="14">
        <f>K69*$E$48/$D$48</f>
        <v>205955.03126931106</v>
      </c>
      <c r="M69" s="14">
        <f aca="true" t="shared" si="2" ref="M69:M89">$H$112*D69/(4*F69)</f>
        <v>12544.339493827152</v>
      </c>
      <c r="N69" s="14">
        <f aca="true" t="shared" si="3" ref="N69:N89">M69*$I$112/$H$112</f>
        <v>13645.253548913679</v>
      </c>
      <c r="O69" s="5">
        <f aca="true" t="shared" si="4" ref="O69:O89">1/((K69/$M$104)^2+(M69/$M$106)^2)^0.5-1</f>
        <v>0.9058356221918575</v>
      </c>
      <c r="P69" s="5">
        <f aca="true" t="shared" si="5" ref="P69:P89">1/((L69/$M$104)^2+(N69/$M$106)^2)^0.5-1</f>
        <v>0.7520707093132228</v>
      </c>
    </row>
    <row r="70" spans="2:16" ht="12.75">
      <c r="B70" s="4">
        <f>1+B69</f>
        <v>2</v>
      </c>
      <c r="C70" s="5">
        <f aca="true" t="shared" si="6" ref="C70:C87">C71+$D$42/19</f>
        <v>36.86363243915082</v>
      </c>
      <c r="D70" s="5">
        <f aca="true" t="shared" si="7" ref="D70:D88">D69-$N$65*$D$42/19</f>
        <v>1.49</v>
      </c>
      <c r="E70" s="5">
        <f t="shared" si="0"/>
        <v>1.743662462558675</v>
      </c>
      <c r="F70" s="13">
        <f t="shared" si="1"/>
        <v>0.24194406457040712</v>
      </c>
      <c r="G70" s="14">
        <f aca="true" t="shared" si="8" ref="G70:G89">C70/F70</f>
        <v>152.36427686128786</v>
      </c>
      <c r="H70" s="14">
        <f aca="true" t="shared" si="9" ref="H70:H89">H69+(G70+G69)/2*(C69-C70)</f>
        <v>248.39236425645106</v>
      </c>
      <c r="I70" s="14">
        <f>I69+(H70+H69)/2*(C69-C70)</f>
        <v>206.08569006367125</v>
      </c>
      <c r="J70" s="14">
        <f aca="true" t="shared" si="10" ref="J70:J89">G70*D70/2</f>
        <v>113.51138626165945</v>
      </c>
      <c r="K70" s="14">
        <f aca="true" t="shared" si="11" ref="K70:K89">$C$69*COS($I$91)*$D$48*$I$93*C70/$C$69*D70/(2*F70)</f>
        <v>192348.45814938142</v>
      </c>
      <c r="L70" s="14">
        <f aca="true" t="shared" si="12" ref="L70:L89">K70*$E$48/$D$48</f>
        <v>209229.30876372266</v>
      </c>
      <c r="M70" s="14">
        <f t="shared" si="2"/>
        <v>13317.40960611489</v>
      </c>
      <c r="N70" s="14">
        <f t="shared" si="3"/>
        <v>14486.169700652414</v>
      </c>
      <c r="O70" s="5">
        <f t="shared" si="4"/>
        <v>0.8731847160904467</v>
      </c>
      <c r="P70" s="5">
        <f t="shared" si="5"/>
        <v>0.7220541142057042</v>
      </c>
    </row>
    <row r="71" spans="2:16" ht="12.75">
      <c r="B71" s="4">
        <f aca="true" t="shared" si="13" ref="B71:B88">1+B70</f>
        <v>3</v>
      </c>
      <c r="C71" s="5">
        <f t="shared" si="6"/>
        <v>35.204276358052454</v>
      </c>
      <c r="D71" s="5">
        <f t="shared" si="7"/>
        <v>1.46</v>
      </c>
      <c r="E71" s="5">
        <f t="shared" si="0"/>
        <v>1.6741547250980005</v>
      </c>
      <c r="F71" s="13">
        <f t="shared" si="1"/>
        <v>0.22303926325118106</v>
      </c>
      <c r="G71" s="14">
        <f t="shared" si="8"/>
        <v>157.83891968117877</v>
      </c>
      <c r="H71" s="14">
        <f t="shared" si="9"/>
        <v>505.76114453589787</v>
      </c>
      <c r="I71" s="14">
        <f aca="true" t="shared" si="14" ref="I71:I89">I70+(H71+H70)/2*(C70-C71)</f>
        <v>831.7902955117984</v>
      </c>
      <c r="J71" s="14">
        <f>G71*D71/2</f>
        <v>115.22241136726049</v>
      </c>
      <c r="K71" s="14">
        <f t="shared" si="11"/>
        <v>195247.84165403343</v>
      </c>
      <c r="L71" s="14">
        <f t="shared" si="12"/>
        <v>212383.14743940442</v>
      </c>
      <c r="M71" s="14">
        <f t="shared" si="2"/>
        <v>14155.329904971426</v>
      </c>
      <c r="N71" s="14">
        <f t="shared" si="3"/>
        <v>15397.627409310988</v>
      </c>
      <c r="O71" s="5">
        <f t="shared" si="4"/>
        <v>0.8421967919600979</v>
      </c>
      <c r="P71" s="5">
        <f t="shared" si="5"/>
        <v>0.6935663298558858</v>
      </c>
    </row>
    <row r="72" spans="2:16" ht="12.75">
      <c r="B72" s="4">
        <f t="shared" si="13"/>
        <v>4</v>
      </c>
      <c r="C72" s="5">
        <f t="shared" si="6"/>
        <v>33.54492027695409</v>
      </c>
      <c r="D72" s="5">
        <f t="shared" si="7"/>
        <v>1.43</v>
      </c>
      <c r="E72" s="5">
        <f t="shared" si="0"/>
        <v>1.6060607043314417</v>
      </c>
      <c r="F72" s="13">
        <f t="shared" si="1"/>
        <v>0.2052645958929603</v>
      </c>
      <c r="G72" s="14">
        <f t="shared" si="8"/>
        <v>163.42282569979488</v>
      </c>
      <c r="H72" s="14">
        <f t="shared" si="9"/>
        <v>772.3049599469946</v>
      </c>
      <c r="I72" s="14">
        <f t="shared" si="14"/>
        <v>1892.1736767714922</v>
      </c>
      <c r="J72" s="14">
        <f>G72*D72/2</f>
        <v>116.84732037535333</v>
      </c>
      <c r="K72" s="14">
        <f t="shared" si="11"/>
        <v>198001.2988413083</v>
      </c>
      <c r="L72" s="14">
        <f t="shared" si="12"/>
        <v>215378.25303862174</v>
      </c>
      <c r="M72" s="14">
        <f t="shared" si="2"/>
        <v>15065.045596682501</v>
      </c>
      <c r="N72" s="14">
        <f t="shared" si="3"/>
        <v>16387.181405113748</v>
      </c>
      <c r="O72" s="5">
        <f t="shared" si="4"/>
        <v>0.8129956544397852</v>
      </c>
      <c r="P72" s="5">
        <f t="shared" si="5"/>
        <v>0.6667211722083823</v>
      </c>
    </row>
    <row r="73" spans="2:16" ht="12.75">
      <c r="B73" s="4">
        <f t="shared" si="13"/>
        <v>5</v>
      </c>
      <c r="C73" s="5">
        <f t="shared" si="6"/>
        <v>31.885564195855725</v>
      </c>
      <c r="D73" s="5">
        <f t="shared" si="7"/>
        <v>1.4</v>
      </c>
      <c r="E73" s="5">
        <f t="shared" si="0"/>
        <v>1.5393804002589984</v>
      </c>
      <c r="F73" s="13">
        <f t="shared" si="1"/>
        <v>0.18857409903172728</v>
      </c>
      <c r="G73" s="14">
        <f t="shared" si="8"/>
        <v>169.08771861872202</v>
      </c>
      <c r="H73" s="14">
        <f t="shared" si="9"/>
        <v>1048.1816568191234</v>
      </c>
      <c r="I73" s="14">
        <f t="shared" si="14"/>
        <v>3402.591445816013</v>
      </c>
      <c r="J73" s="14">
        <f t="shared" si="10"/>
        <v>118.3614030331054</v>
      </c>
      <c r="K73" s="14">
        <f>$C$69*COS($I$91)*$D$48*$I$93*C73/$C$69*D73/(2*F73)</f>
        <v>200566.95744456063</v>
      </c>
      <c r="L73" s="14">
        <f t="shared" si="12"/>
        <v>218169.07850843278</v>
      </c>
      <c r="M73" s="14">
        <f t="shared" si="2"/>
        <v>16054.413917324397</v>
      </c>
      <c r="N73" s="14">
        <f t="shared" si="3"/>
        <v>17463.37848946919</v>
      </c>
      <c r="O73" s="5">
        <f t="shared" si="4"/>
        <v>0.7857261331691152</v>
      </c>
      <c r="P73" s="5">
        <f t="shared" si="5"/>
        <v>0.6416517858882833</v>
      </c>
    </row>
    <row r="74" spans="2:16" ht="12.75">
      <c r="B74" s="4">
        <f t="shared" si="13"/>
        <v>6</v>
      </c>
      <c r="C74" s="5">
        <f t="shared" si="6"/>
        <v>30.226208114757362</v>
      </c>
      <c r="D74" s="5">
        <f t="shared" si="7"/>
        <v>1.3699999999999999</v>
      </c>
      <c r="E74" s="5">
        <f t="shared" si="0"/>
        <v>1.4741138128806706</v>
      </c>
      <c r="F74" s="13">
        <f t="shared" si="1"/>
        <v>0.17292276346223315</v>
      </c>
      <c r="G74" s="14">
        <f t="shared" si="8"/>
        <v>174.79600435230645</v>
      </c>
      <c r="H74" s="14">
        <f t="shared" si="9"/>
        <v>1333.494430270484</v>
      </c>
      <c r="I74" s="14">
        <f t="shared" si="14"/>
        <v>5378.61579497536</v>
      </c>
      <c r="J74" s="14">
        <f t="shared" si="10"/>
        <v>119.73526298132991</v>
      </c>
      <c r="K74" s="14">
        <f t="shared" si="11"/>
        <v>202895.00444898198</v>
      </c>
      <c r="L74" s="14">
        <f t="shared" si="12"/>
        <v>220701.43915322804</v>
      </c>
      <c r="M74" s="14">
        <f t="shared" si="2"/>
        <v>17132.346974195352</v>
      </c>
      <c r="N74" s="14">
        <f t="shared" si="3"/>
        <v>18635.91291242527</v>
      </c>
      <c r="O74" s="5">
        <f t="shared" si="4"/>
        <v>0.7605584438228479</v>
      </c>
      <c r="P74" s="5">
        <f t="shared" si="5"/>
        <v>0.6185146533826078</v>
      </c>
    </row>
    <row r="75" spans="2:16" ht="12.75">
      <c r="B75" s="4">
        <f t="shared" si="13"/>
        <v>7</v>
      </c>
      <c r="C75" s="5">
        <f t="shared" si="6"/>
        <v>28.566852033659</v>
      </c>
      <c r="D75" s="5">
        <f t="shared" si="7"/>
        <v>1.3399999999999999</v>
      </c>
      <c r="E75" s="5">
        <f t="shared" si="0"/>
        <v>1.4102609421964578</v>
      </c>
      <c r="F75" s="13">
        <f t="shared" si="1"/>
        <v>0.15826653423799744</v>
      </c>
      <c r="G75" s="14">
        <f t="shared" si="8"/>
        <v>180.49837365302287</v>
      </c>
      <c r="H75" s="14">
        <f t="shared" si="9"/>
        <v>1628.2743736320858</v>
      </c>
      <c r="I75" s="14">
        <f t="shared" si="14"/>
        <v>7835.930332756936</v>
      </c>
      <c r="J75" s="14">
        <f t="shared" si="10"/>
        <v>120.93391034752531</v>
      </c>
      <c r="K75" s="14">
        <f t="shared" si="11"/>
        <v>204926.1484632136</v>
      </c>
      <c r="L75" s="14">
        <f t="shared" si="12"/>
        <v>222910.840061278</v>
      </c>
      <c r="M75" s="14">
        <f t="shared" si="2"/>
        <v>18308.980737797767</v>
      </c>
      <c r="N75" s="14">
        <f t="shared" si="3"/>
        <v>19915.81019569539</v>
      </c>
      <c r="O75" s="5">
        <f t="shared" si="4"/>
        <v>0.7376935569015537</v>
      </c>
      <c r="P75" s="5">
        <f t="shared" si="5"/>
        <v>0.5974945306710355</v>
      </c>
    </row>
    <row r="76" spans="2:16" ht="12.75">
      <c r="B76" s="4">
        <f t="shared" si="13"/>
        <v>8</v>
      </c>
      <c r="C76" s="5">
        <f t="shared" si="6"/>
        <v>26.907495952560637</v>
      </c>
      <c r="D76" s="5">
        <f t="shared" si="7"/>
        <v>1.3099999999999998</v>
      </c>
      <c r="E76" s="5">
        <f t="shared" si="0"/>
        <v>1.3478217882063606</v>
      </c>
      <c r="F76" s="13">
        <f t="shared" si="1"/>
        <v>0.14456231067130842</v>
      </c>
      <c r="G76" s="14">
        <f t="shared" si="8"/>
        <v>186.13078213546447</v>
      </c>
      <c r="H76" s="14">
        <f t="shared" si="9"/>
        <v>1932.4585332148786</v>
      </c>
      <c r="I76" s="14">
        <f t="shared" si="14"/>
        <v>10790.192233828715</v>
      </c>
      <c r="J76" s="14">
        <f t="shared" si="10"/>
        <v>121.91566229872922</v>
      </c>
      <c r="K76" s="14">
        <f t="shared" si="11"/>
        <v>206589.75667308888</v>
      </c>
      <c r="L76" s="14">
        <f t="shared" si="12"/>
        <v>224720.4495541471</v>
      </c>
      <c r="M76" s="14">
        <f t="shared" si="2"/>
        <v>19595.875695929637</v>
      </c>
      <c r="N76" s="14">
        <f t="shared" si="3"/>
        <v>21315.64539651796</v>
      </c>
      <c r="O76" s="5">
        <f t="shared" si="4"/>
        <v>0.7173697886040928</v>
      </c>
      <c r="P76" s="5">
        <f t="shared" si="5"/>
        <v>0.578810506339547</v>
      </c>
    </row>
    <row r="77" spans="2:16" ht="12.75">
      <c r="B77" s="4">
        <f t="shared" si="13"/>
        <v>9</v>
      </c>
      <c r="C77" s="5">
        <f t="shared" si="6"/>
        <v>25.248139871462275</v>
      </c>
      <c r="D77" s="5">
        <f t="shared" si="7"/>
        <v>1.2799999999999998</v>
      </c>
      <c r="E77" s="5">
        <f t="shared" si="0"/>
        <v>1.2867963509103788</v>
      </c>
      <c r="F77" s="13">
        <f t="shared" si="1"/>
        <v>0.13176794633322275</v>
      </c>
      <c r="G77" s="14">
        <f t="shared" si="8"/>
        <v>191.61063501447651</v>
      </c>
      <c r="H77" s="14">
        <f t="shared" si="9"/>
        <v>2245.8622920301123</v>
      </c>
      <c r="I77" s="14">
        <f t="shared" si="14"/>
        <v>14256.853268903818</v>
      </c>
      <c r="J77" s="14">
        <f t="shared" si="10"/>
        <v>122.63080640926495</v>
      </c>
      <c r="K77" s="14">
        <f t="shared" si="11"/>
        <v>207801.58987807742</v>
      </c>
      <c r="L77" s="14">
        <f t="shared" si="12"/>
        <v>226038.63544581548</v>
      </c>
      <c r="M77" s="14">
        <f t="shared" si="2"/>
        <v>21006.256002968865</v>
      </c>
      <c r="N77" s="14">
        <f t="shared" si="3"/>
        <v>22849.803245116935</v>
      </c>
      <c r="O77" s="5">
        <f t="shared" si="4"/>
        <v>0.6998708309543717</v>
      </c>
      <c r="P77" s="5">
        <f t="shared" si="5"/>
        <v>0.5627233838277281</v>
      </c>
    </row>
    <row r="78" spans="2:16" ht="12.75">
      <c r="B78" s="4">
        <f t="shared" si="13"/>
        <v>10</v>
      </c>
      <c r="C78" s="5">
        <f t="shared" si="6"/>
        <v>23.588783790363912</v>
      </c>
      <c r="D78" s="5">
        <f t="shared" si="7"/>
        <v>1.2499999999999998</v>
      </c>
      <c r="E78" s="5">
        <f t="shared" si="0"/>
        <v>1.2271846303085125</v>
      </c>
      <c r="F78" s="13">
        <f t="shared" si="1"/>
        <v>0.11984224905356565</v>
      </c>
      <c r="G78" s="14">
        <f t="shared" si="8"/>
        <v>196.8319518087522</v>
      </c>
      <c r="H78" s="14">
        <f t="shared" si="9"/>
        <v>2568.1445763314637</v>
      </c>
      <c r="I78" s="14">
        <f t="shared" si="14"/>
        <v>18250.92905463635</v>
      </c>
      <c r="J78" s="14">
        <f t="shared" si="10"/>
        <v>123.0199698804701</v>
      </c>
      <c r="K78" s="14">
        <f t="shared" si="11"/>
        <v>208461.03908506557</v>
      </c>
      <c r="L78" s="14">
        <f t="shared" si="12"/>
        <v>226755.95911490236</v>
      </c>
      <c r="M78" s="14">
        <f t="shared" si="2"/>
        <v>22555.295636038732</v>
      </c>
      <c r="N78" s="14">
        <f t="shared" si="3"/>
        <v>24534.78941445297</v>
      </c>
      <c r="O78" s="5">
        <f t="shared" si="4"/>
        <v>0.6855353817714018</v>
      </c>
      <c r="P78" s="5">
        <f t="shared" si="5"/>
        <v>0.5495445344422578</v>
      </c>
    </row>
    <row r="79" spans="2:16" ht="12.75">
      <c r="B79" s="4">
        <f t="shared" si="13"/>
        <v>11</v>
      </c>
      <c r="C79" s="5">
        <f t="shared" si="6"/>
        <v>21.92942770926555</v>
      </c>
      <c r="D79" s="5">
        <f t="shared" si="7"/>
        <v>1.2199999999999998</v>
      </c>
      <c r="E79" s="5">
        <f t="shared" si="0"/>
        <v>1.1689866264007616</v>
      </c>
      <c r="F79" s="13">
        <f t="shared" si="1"/>
        <v>0.10874498092093082</v>
      </c>
      <c r="G79" s="14">
        <f t="shared" si="8"/>
        <v>201.65921703743345</v>
      </c>
      <c r="H79" s="14">
        <f t="shared" si="9"/>
        <v>2898.7639484759197</v>
      </c>
      <c r="I79" s="14">
        <f t="shared" si="14"/>
        <v>22786.703007360156</v>
      </c>
      <c r="J79" s="14">
        <f t="shared" si="10"/>
        <v>123.01212239283439</v>
      </c>
      <c r="K79" s="14">
        <f t="shared" si="11"/>
        <v>208447.74128123466</v>
      </c>
      <c r="L79" s="14">
        <f t="shared" si="12"/>
        <v>226741.4942716154</v>
      </c>
      <c r="M79" s="14">
        <f t="shared" si="2"/>
        <v>24260.462213323008</v>
      </c>
      <c r="N79" s="14">
        <f t="shared" si="3"/>
        <v>26389.604512659353</v>
      </c>
      <c r="O79" s="5">
        <f t="shared" si="4"/>
        <v>0.6747683375969433</v>
      </c>
      <c r="P79" s="5">
        <f t="shared" si="5"/>
        <v>0.539646187226849</v>
      </c>
    </row>
    <row r="80" spans="2:16" ht="12.75">
      <c r="B80" s="4">
        <f t="shared" si="13"/>
        <v>12</v>
      </c>
      <c r="C80" s="5">
        <f t="shared" si="6"/>
        <v>20.270071628167187</v>
      </c>
      <c r="D80" s="5">
        <f t="shared" si="7"/>
        <v>1.1899999999999997</v>
      </c>
      <c r="E80" s="5">
        <f t="shared" si="0"/>
        <v>1.1122023391871259</v>
      </c>
      <c r="F80" s="13">
        <f t="shared" si="1"/>
        <v>0.09843685828268052</v>
      </c>
      <c r="G80" s="14">
        <f t="shared" si="8"/>
        <v>205.9195303649142</v>
      </c>
      <c r="H80" s="14">
        <f t="shared" si="9"/>
        <v>3236.923084990189</v>
      </c>
      <c r="I80" s="14">
        <f t="shared" si="14"/>
        <v>27877.347802709337</v>
      </c>
      <c r="J80" s="14">
        <f t="shared" si="10"/>
        <v>122.52212056712392</v>
      </c>
      <c r="K80" s="14">
        <f t="shared" si="11"/>
        <v>207617.41844958035</v>
      </c>
      <c r="L80" s="14">
        <f t="shared" si="12"/>
        <v>225838.3007977023</v>
      </c>
      <c r="M80" s="14">
        <f t="shared" si="2"/>
        <v>26141.931882474102</v>
      </c>
      <c r="N80" s="14">
        <f t="shared" si="3"/>
        <v>28436.195382811642</v>
      </c>
      <c r="O80" s="5">
        <f t="shared" si="4"/>
        <v>0.6680529985992043</v>
      </c>
      <c r="P80" s="5">
        <f t="shared" si="5"/>
        <v>0.5334726491608976</v>
      </c>
    </row>
    <row r="81" spans="2:16" ht="12.75">
      <c r="B81" s="4">
        <f t="shared" si="13"/>
        <v>13</v>
      </c>
      <c r="C81" s="5">
        <f t="shared" si="6"/>
        <v>18.610715547068825</v>
      </c>
      <c r="D81" s="5">
        <f t="shared" si="7"/>
        <v>1.1599999999999997</v>
      </c>
      <c r="E81" s="5">
        <f t="shared" si="0"/>
        <v>1.0568317686676059</v>
      </c>
      <c r="F81" s="13">
        <f t="shared" si="1"/>
        <v>0.08887955174494559</v>
      </c>
      <c r="G81" s="14">
        <f t="shared" si="8"/>
        <v>209.39254509828444</v>
      </c>
      <c r="H81" s="14">
        <f t="shared" si="9"/>
        <v>3581.4983939769095</v>
      </c>
      <c r="I81" s="14">
        <f t="shared" si="14"/>
        <v>33534.44237501721</v>
      </c>
      <c r="J81" s="14">
        <f t="shared" si="10"/>
        <v>121.44767615700495</v>
      </c>
      <c r="K81" s="14">
        <f t="shared" si="11"/>
        <v>205796.740080124</v>
      </c>
      <c r="L81" s="14">
        <f t="shared" si="12"/>
        <v>223857.83638229966</v>
      </c>
      <c r="M81" s="14">
        <f t="shared" si="2"/>
        <v>28223.09224262102</v>
      </c>
      <c r="N81" s="14">
        <f t="shared" si="3"/>
        <v>30700.00216228595</v>
      </c>
      <c r="O81" s="5">
        <f t="shared" si="4"/>
        <v>0.6659625259007762</v>
      </c>
      <c r="P81" s="5">
        <f t="shared" si="5"/>
        <v>0.5315508380976108</v>
      </c>
    </row>
    <row r="82" spans="2:16" ht="12.75">
      <c r="B82" s="4">
        <f t="shared" si="13"/>
        <v>14</v>
      </c>
      <c r="C82" s="5">
        <f t="shared" si="6"/>
        <v>16.951359465970462</v>
      </c>
      <c r="D82" s="5">
        <f t="shared" si="7"/>
        <v>1.1299999999999997</v>
      </c>
      <c r="E82" s="5">
        <f t="shared" si="0"/>
        <v>1.0028749148422011</v>
      </c>
      <c r="F82" s="13">
        <f t="shared" si="1"/>
        <v>0.08003568617262537</v>
      </c>
      <c r="G82" s="14">
        <f t="shared" si="8"/>
        <v>211.79751529097706</v>
      </c>
      <c r="H82" s="14">
        <f t="shared" si="9"/>
        <v>3930.950537979463</v>
      </c>
      <c r="I82" s="14">
        <f t="shared" si="14"/>
        <v>39767.35628460857</v>
      </c>
      <c r="J82" s="14">
        <f t="shared" si="10"/>
        <v>119.665596139402</v>
      </c>
      <c r="K82" s="14">
        <f t="shared" si="11"/>
        <v>202776.9518899367</v>
      </c>
      <c r="L82" s="14">
        <f t="shared" si="12"/>
        <v>220573.0260868355</v>
      </c>
      <c r="M82" s="14">
        <f t="shared" si="2"/>
        <v>30531.15488433213</v>
      </c>
      <c r="N82" s="14">
        <f t="shared" si="3"/>
        <v>33210.62458034322</v>
      </c>
      <c r="O82" s="5">
        <f t="shared" si="4"/>
        <v>0.6691661757194254</v>
      </c>
      <c r="P82" s="5">
        <f t="shared" si="5"/>
        <v>0.5344960139274637</v>
      </c>
    </row>
    <row r="83" spans="2:16" ht="12.75">
      <c r="B83" s="4">
        <f t="shared" si="13"/>
        <v>15</v>
      </c>
      <c r="C83" s="5">
        <f t="shared" si="6"/>
        <v>15.292003384872098</v>
      </c>
      <c r="D83" s="5">
        <f t="shared" si="7"/>
        <v>1.0999999999999996</v>
      </c>
      <c r="E83" s="5">
        <f t="shared" si="0"/>
        <v>0.9503317777109118</v>
      </c>
      <c r="F83" s="13">
        <f t="shared" si="1"/>
        <v>0.07186884068938768</v>
      </c>
      <c r="G83" s="14">
        <f t="shared" si="8"/>
        <v>212.7765417973432</v>
      </c>
      <c r="H83" s="14">
        <f t="shared" si="9"/>
        <v>4283.210309732517</v>
      </c>
      <c r="I83" s="14">
        <f t="shared" si="14"/>
        <v>46582.46516149405</v>
      </c>
      <c r="J83" s="14">
        <f t="shared" si="10"/>
        <v>117.02709798853873</v>
      </c>
      <c r="K83" s="14">
        <f t="shared" si="11"/>
        <v>198305.9374140967</v>
      </c>
      <c r="L83" s="14">
        <f t="shared" si="12"/>
        <v>215709.62724676734</v>
      </c>
      <c r="M83" s="14">
        <f t="shared" si="2"/>
        <v>33097.90517591147</v>
      </c>
      <c r="N83" s="14">
        <f t="shared" si="3"/>
        <v>36002.637547034916</v>
      </c>
      <c r="O83" s="5">
        <f t="shared" si="4"/>
        <v>0.6784198620667923</v>
      </c>
      <c r="P83" s="5">
        <f t="shared" si="5"/>
        <v>0.5430031026887423</v>
      </c>
    </row>
    <row r="84" spans="2:16" ht="12.75">
      <c r="B84" s="4">
        <f t="shared" si="13"/>
        <v>16</v>
      </c>
      <c r="C84" s="5">
        <f t="shared" si="6"/>
        <v>13.632647303773735</v>
      </c>
      <c r="D84" s="5">
        <f t="shared" si="7"/>
        <v>1.0699999999999996</v>
      </c>
      <c r="E84" s="5">
        <f t="shared" si="0"/>
        <v>0.8992023572737379</v>
      </c>
      <c r="F84" s="13">
        <f t="shared" si="1"/>
        <v>0.06434354867766885</v>
      </c>
      <c r="G84" s="14">
        <f t="shared" si="8"/>
        <v>211.87279197277314</v>
      </c>
      <c r="H84" s="14">
        <f t="shared" si="9"/>
        <v>4635.532536895423</v>
      </c>
      <c r="I84" s="14">
        <f t="shared" si="14"/>
        <v>53982.15025064635</v>
      </c>
      <c r="J84" s="14">
        <f t="shared" si="10"/>
        <v>113.3519437054336</v>
      </c>
      <c r="K84" s="14">
        <f t="shared" si="11"/>
        <v>192078.27794223683</v>
      </c>
      <c r="L84" s="14">
        <f t="shared" si="12"/>
        <v>208935.4170500776</v>
      </c>
      <c r="M84" s="14">
        <f t="shared" si="2"/>
        <v>35960.62488348425</v>
      </c>
      <c r="N84" s="14">
        <f t="shared" si="3"/>
        <v>39116.59474410572</v>
      </c>
      <c r="O84" s="5">
        <f t="shared" si="4"/>
        <v>0.6945176360311975</v>
      </c>
      <c r="P84" s="5">
        <f t="shared" si="5"/>
        <v>0.5578020905551475</v>
      </c>
    </row>
    <row r="85" spans="2:16" ht="12.75">
      <c r="B85" s="4">
        <f t="shared" si="13"/>
        <v>17</v>
      </c>
      <c r="C85" s="5">
        <f t="shared" si="6"/>
        <v>11.973291222675373</v>
      </c>
      <c r="D85" s="5">
        <f t="shared" si="7"/>
        <v>1.0399999999999996</v>
      </c>
      <c r="E85" s="5">
        <f t="shared" si="0"/>
        <v>0.8494866535306794</v>
      </c>
      <c r="F85" s="13">
        <f t="shared" si="1"/>
        <v>0.057425297778673896</v>
      </c>
      <c r="G85" s="14">
        <f t="shared" si="8"/>
        <v>208.50203108780238</v>
      </c>
      <c r="H85" s="14">
        <f t="shared" si="9"/>
        <v>4984.30829638853</v>
      </c>
      <c r="I85" s="14">
        <f t="shared" si="14"/>
        <v>61963.520943600386</v>
      </c>
      <c r="J85" s="14">
        <f t="shared" si="10"/>
        <v>108.42105616565719</v>
      </c>
      <c r="K85" s="14">
        <f t="shared" si="11"/>
        <v>183722.740697738</v>
      </c>
      <c r="L85" s="14">
        <f t="shared" si="12"/>
        <v>199846.5826563112</v>
      </c>
      <c r="M85" s="14">
        <f t="shared" si="2"/>
        <v>39163.23376793833</v>
      </c>
      <c r="N85" s="14">
        <f t="shared" si="3"/>
        <v>42600.270410559395</v>
      </c>
      <c r="O85" s="5">
        <f t="shared" si="4"/>
        <v>0.718152957837626</v>
      </c>
      <c r="P85" s="5">
        <f t="shared" si="5"/>
        <v>0.5795304886184653</v>
      </c>
    </row>
    <row r="86" spans="2:16" ht="12.75">
      <c r="B86" s="4">
        <f t="shared" si="13"/>
        <v>18</v>
      </c>
      <c r="C86" s="5">
        <f t="shared" si="6"/>
        <v>10.31393514157701</v>
      </c>
      <c r="D86" s="5">
        <f t="shared" si="7"/>
        <v>1.0099999999999996</v>
      </c>
      <c r="E86" s="5">
        <f t="shared" si="0"/>
        <v>0.8011846664817363</v>
      </c>
      <c r="F86" s="13">
        <f t="shared" si="1"/>
        <v>0.05108052989237616</v>
      </c>
      <c r="G86" s="14">
        <f t="shared" si="8"/>
        <v>201.91519475831396</v>
      </c>
      <c r="H86" s="14">
        <f t="shared" si="9"/>
        <v>5324.822456136167</v>
      </c>
      <c r="I86" s="14">
        <f t="shared" si="14"/>
        <v>70516.78034612039</v>
      </c>
      <c r="J86" s="14">
        <f t="shared" si="10"/>
        <v>101.9671733529485</v>
      </c>
      <c r="K86" s="14">
        <f t="shared" si="11"/>
        <v>172786.44215549552</v>
      </c>
      <c r="L86" s="14">
        <f t="shared" si="12"/>
        <v>187950.49465829853</v>
      </c>
      <c r="M86" s="14">
        <f t="shared" si="2"/>
        <v>42757.71040612228</v>
      </c>
      <c r="N86" s="14">
        <f t="shared" si="3"/>
        <v>46510.20485771003</v>
      </c>
      <c r="O86" s="5">
        <f t="shared" si="4"/>
        <v>0.7495812709098897</v>
      </c>
      <c r="P86" s="5">
        <f t="shared" si="5"/>
        <v>0.6084231308462926</v>
      </c>
    </row>
    <row r="87" spans="2:16" ht="12.75">
      <c r="B87" s="4">
        <f t="shared" si="13"/>
        <v>19</v>
      </c>
      <c r="C87" s="5">
        <f t="shared" si="6"/>
        <v>8.654579060478648</v>
      </c>
      <c r="D87" s="5">
        <f t="shared" si="7"/>
        <v>0.9799999999999995</v>
      </c>
      <c r="E87" s="5">
        <f t="shared" si="0"/>
        <v>0.7542963961269087</v>
      </c>
      <c r="F87" s="13">
        <f t="shared" si="1"/>
        <v>0.04527664117751765</v>
      </c>
      <c r="G87" s="14">
        <f t="shared" si="8"/>
        <v>191.14887578666333</v>
      </c>
      <c r="H87" s="14">
        <f t="shared" si="9"/>
        <v>5650.939083996209</v>
      </c>
      <c r="I87" s="14">
        <f t="shared" si="14"/>
        <v>79623.12867427248</v>
      </c>
      <c r="J87" s="14">
        <f t="shared" si="10"/>
        <v>93.66294913546498</v>
      </c>
      <c r="K87" s="14">
        <f t="shared" si="11"/>
        <v>158714.68444937697</v>
      </c>
      <c r="L87" s="14">
        <f t="shared" si="12"/>
        <v>172643.7738960493</v>
      </c>
      <c r="M87" s="14">
        <f t="shared" si="2"/>
        <v>46805.87147907993</v>
      </c>
      <c r="N87" s="14">
        <f t="shared" si="3"/>
        <v>50913.63991098894</v>
      </c>
      <c r="O87" s="5">
        <f t="shared" si="4"/>
        <v>0.7878657183018478</v>
      </c>
      <c r="P87" s="5">
        <f t="shared" si="5"/>
        <v>0.6436187469406909</v>
      </c>
    </row>
    <row r="88" spans="2:16" ht="12.75">
      <c r="B88" s="4">
        <f t="shared" si="13"/>
        <v>20</v>
      </c>
      <c r="C88" s="5">
        <f>D38*D42/D35</f>
        <v>6.995222979380285</v>
      </c>
      <c r="D88" s="5">
        <f t="shared" si="7"/>
        <v>0.9499999999999995</v>
      </c>
      <c r="E88" s="5">
        <f t="shared" si="0"/>
        <v>0.7088218424661964</v>
      </c>
      <c r="F88" s="13">
        <f t="shared" si="1"/>
        <v>0.03998198205160885</v>
      </c>
      <c r="G88" s="14">
        <f t="shared" si="8"/>
        <v>174.95938471361507</v>
      </c>
      <c r="H88" s="14">
        <f t="shared" si="9"/>
        <v>5954.691068196949</v>
      </c>
      <c r="I88" s="14">
        <f t="shared" si="14"/>
        <v>89252.0651582826</v>
      </c>
      <c r="J88" s="14">
        <f t="shared" si="10"/>
        <v>83.10570773896711</v>
      </c>
      <c r="K88" s="14">
        <f t="shared" si="11"/>
        <v>140825.1213684873</v>
      </c>
      <c r="L88" s="14">
        <f t="shared" si="12"/>
        <v>153184.19021385175</v>
      </c>
      <c r="M88" s="14">
        <f t="shared" si="2"/>
        <v>51381.61456671609</v>
      </c>
      <c r="N88" s="14">
        <f t="shared" si="3"/>
        <v>55890.95853635051</v>
      </c>
      <c r="O88" s="5">
        <f t="shared" si="4"/>
        <v>0.8293204535093517</v>
      </c>
      <c r="P88" s="5">
        <f t="shared" si="5"/>
        <v>0.6817288685449201</v>
      </c>
    </row>
    <row r="89" spans="2:16" ht="12.75">
      <c r="B89" s="4">
        <v>21</v>
      </c>
      <c r="C89" s="4">
        <v>0</v>
      </c>
      <c r="D89" s="5">
        <f>D41</f>
        <v>0.95</v>
      </c>
      <c r="E89" s="5">
        <f t="shared" si="0"/>
        <v>0.7088218424661971</v>
      </c>
      <c r="F89" s="13">
        <f t="shared" si="1"/>
        <v>0.039981982051608925</v>
      </c>
      <c r="G89" s="4">
        <f t="shared" si="8"/>
        <v>0</v>
      </c>
      <c r="H89" s="14">
        <f t="shared" si="9"/>
        <v>6566.631022400407</v>
      </c>
      <c r="I89" s="14">
        <f t="shared" si="14"/>
        <v>133046.78516846691</v>
      </c>
      <c r="J89" s="14">
        <f t="shared" si="10"/>
        <v>0</v>
      </c>
      <c r="K89" s="14">
        <f t="shared" si="11"/>
        <v>0</v>
      </c>
      <c r="L89" s="14">
        <f t="shared" si="12"/>
        <v>0</v>
      </c>
      <c r="M89" s="14">
        <f t="shared" si="2"/>
        <v>51381.614566716016</v>
      </c>
      <c r="N89" s="14">
        <f t="shared" si="3"/>
        <v>55890.95853635043</v>
      </c>
      <c r="O89" s="5">
        <f t="shared" si="4"/>
        <v>1.569012303585862</v>
      </c>
      <c r="P89" s="5">
        <f t="shared" si="5"/>
        <v>1.3617415670935338</v>
      </c>
    </row>
    <row r="90" spans="2:7" ht="12.75">
      <c r="B90" s="1" t="s">
        <v>64</v>
      </c>
      <c r="E90" s="5"/>
      <c r="F90" s="5"/>
      <c r="G90" s="5"/>
    </row>
    <row r="91" spans="6:14" ht="12.75">
      <c r="F91" s="1" t="s">
        <v>57</v>
      </c>
      <c r="I91" s="20">
        <f>ACOS(M91/D42)</f>
        <v>1.028233060413205</v>
      </c>
      <c r="J91" s="1" t="s">
        <v>58</v>
      </c>
      <c r="K91" s="1" t="s">
        <v>131</v>
      </c>
      <c r="M91" s="2">
        <f>(D35^2+D37^2)^0.5</f>
        <v>16.278820596099706</v>
      </c>
      <c r="N91" s="1" t="s">
        <v>9</v>
      </c>
    </row>
    <row r="92" spans="2:14" ht="12.75">
      <c r="B92" s="1" t="s">
        <v>42</v>
      </c>
      <c r="D92" s="15">
        <f>I89</f>
        <v>133046.78516846691</v>
      </c>
      <c r="F92" s="1" t="s">
        <v>90</v>
      </c>
      <c r="I92" s="6">
        <f>3.6*(C30/C31)^0.5</f>
        <v>12.518222012448142</v>
      </c>
      <c r="J92" s="1" t="s">
        <v>9</v>
      </c>
      <c r="K92" s="1" t="s">
        <v>134</v>
      </c>
      <c r="M92" s="2">
        <f>ATAN(D36/D35)</f>
        <v>1.0358412530088001</v>
      </c>
      <c r="N92" s="1" t="s">
        <v>58</v>
      </c>
    </row>
    <row r="93" spans="2:14" ht="12.75">
      <c r="B93" s="1" t="s">
        <v>157</v>
      </c>
      <c r="D93" s="15">
        <f>C69*D39/(3*F69)</f>
        <v>514.5691734219013</v>
      </c>
      <c r="F93" s="1" t="s">
        <v>40</v>
      </c>
      <c r="I93" s="2">
        <f>(1+I47^2)^0.5</f>
        <v>1.0307764064044151</v>
      </c>
      <c r="K93" s="1" t="s">
        <v>135</v>
      </c>
      <c r="M93" s="2">
        <f>ATAN(D37/D36)</f>
        <v>-0.11065722117389563</v>
      </c>
      <c r="N93" s="1" t="s">
        <v>58</v>
      </c>
    </row>
    <row r="95" spans="2:9" ht="12.75">
      <c r="B95" s="16" t="s">
        <v>72</v>
      </c>
      <c r="H95" s="1" t="s">
        <v>105</v>
      </c>
      <c r="I95" s="1" t="s">
        <v>106</v>
      </c>
    </row>
    <row r="96" spans="2:13" ht="12.75">
      <c r="B96" s="7" t="s">
        <v>60</v>
      </c>
      <c r="E96" s="4">
        <f>H56/100</f>
        <v>0.9</v>
      </c>
      <c r="F96" s="4">
        <v>3</v>
      </c>
      <c r="G96" s="4">
        <v>5</v>
      </c>
      <c r="H96" s="17">
        <f>D50</f>
        <v>3.4420195679563874</v>
      </c>
      <c r="I96" s="17">
        <f>E50</f>
        <v>3.744097467084574</v>
      </c>
      <c r="J96" s="1" t="s">
        <v>62</v>
      </c>
      <c r="M96" s="19">
        <f>(G97-F97)/(G106-F106)</f>
        <v>1.5390794112695652</v>
      </c>
    </row>
    <row r="97" spans="2:13" ht="12.75">
      <c r="B97" s="7" t="s">
        <v>61</v>
      </c>
      <c r="E97" s="14">
        <f>$C$30/2*E96</f>
        <v>832.5</v>
      </c>
      <c r="F97" s="14">
        <f>$C$30/2*F96</f>
        <v>2775</v>
      </c>
      <c r="G97" s="14">
        <f>$C$30/2*G96</f>
        <v>4625</v>
      </c>
      <c r="H97" s="14">
        <f>$C$30/2*H96</f>
        <v>3183.8681003596585</v>
      </c>
      <c r="I97" s="14">
        <f>$C$30/2*I96</f>
        <v>3463.2901570532313</v>
      </c>
      <c r="J97" s="1" t="s">
        <v>66</v>
      </c>
      <c r="M97" s="19">
        <f>G97-M96*G106</f>
        <v>-18762.332995257028</v>
      </c>
    </row>
    <row r="98" spans="2:13" ht="12.75">
      <c r="B98" s="7" t="s">
        <v>45</v>
      </c>
      <c r="E98" s="5">
        <f>IF(E97/(2.25*($G$30*$G$32)^0.5*(2+$G$33))&gt;($G$30-$G$31)/2,($G$30-$G$31)/2,E97/(2.25*($G$30*$G$32)^0.5*(2+$G$33)))</f>
        <v>0.9823174250156198</v>
      </c>
      <c r="F98" s="5">
        <f>IF(F97/(2.25*($G$30*$G$32)^0.5*(2+$G$33))&gt;($G$30-$G$31)/2,($G$30-$G$31)/2,F97/(2.25*($G$30*$G$32)^0.5*(2+$G$33)))</f>
        <v>3.274391416718733</v>
      </c>
      <c r="G98" s="5">
        <f>IF(G97/(2.25*($G$30*$G$32)^0.5*(2+$G$33))&gt;($G$30-$G$31)/2,($G$30-$G$31)/2,G97/(2.25*($G$30*$G$32)^0.5*(2+$G$33)))</f>
        <v>4.1875</v>
      </c>
      <c r="H98" s="5">
        <f>IF(H97/(2.25*($G$30*$G$32)^0.5*(2+$G$33))&gt;($G$30-$G$31)/2,($G$30-$G$31)/2,H97/(2.25*($G$30*$G$32)^0.5*(2+$G$33)))</f>
        <v>3.7568397764981056</v>
      </c>
      <c r="I98" s="5">
        <f>IF(I97/(2.25*($G$30*$G$32)^0.5*(2+$G$33))&gt;($G$30-$G$31)/2,($G$30-$G$31)/2,I97/(2.25*($G$30*$G$32)^0.5*(2+$G$33)))</f>
        <v>4.086546869860026</v>
      </c>
      <c r="J98" s="21" t="s">
        <v>67</v>
      </c>
      <c r="K98" s="18"/>
      <c r="M98" s="77">
        <f>(G97-F97)/(G110-F110)</f>
        <v>0.11407356062388686</v>
      </c>
    </row>
    <row r="99" spans="2:13" ht="12.75">
      <c r="B99" s="7" t="s">
        <v>50</v>
      </c>
      <c r="E99" s="14">
        <f>E97*$I$93*COS($I$91)</f>
        <v>443.0762346241983</v>
      </c>
      <c r="F99" s="14">
        <f>F97*$I$93*COS($I$91)</f>
        <v>1476.920782080661</v>
      </c>
      <c r="G99" s="14">
        <f>G97*$I$93*COS($I$91)</f>
        <v>2461.534636801102</v>
      </c>
      <c r="H99" s="14">
        <f>H97*$I$93*COS($I$91)</f>
        <v>1694.5300774143623</v>
      </c>
      <c r="I99" s="14">
        <f>I97*$I$93*COS($I$91)</f>
        <v>1843.2451197575906</v>
      </c>
      <c r="J99" s="21" t="s">
        <v>68</v>
      </c>
      <c r="M99" s="24">
        <f>G97-M98*G110</f>
        <v>1557.258529200653</v>
      </c>
    </row>
    <row r="100" spans="2:14" ht="12.75">
      <c r="B100" s="7" t="s">
        <v>48</v>
      </c>
      <c r="E100" s="17">
        <f>$D$92*E99/$K$38</f>
        <v>2.032754089699964</v>
      </c>
      <c r="F100" s="17">
        <f>$D$92*F99/$K$38</f>
        <v>6.775846965666546</v>
      </c>
      <c r="G100" s="17">
        <f>$D$92*G99/$K$38</f>
        <v>11.293078276110911</v>
      </c>
      <c r="H100" s="17">
        <f>$D$92*H99/$K$38</f>
        <v>7.774199281767389</v>
      </c>
      <c r="I100" s="17">
        <f>$D$92*I99/$K$38</f>
        <v>8.456477153834939</v>
      </c>
      <c r="J100" s="8" t="s">
        <v>71</v>
      </c>
      <c r="M100" s="15">
        <f>(M99-M97)/(M96-M98)</f>
        <v>14259.303928647561</v>
      </c>
      <c r="N100" s="1" t="s">
        <v>70</v>
      </c>
    </row>
    <row r="101" spans="2:13" ht="12.75">
      <c r="B101" s="7" t="s">
        <v>158</v>
      </c>
      <c r="E101" s="17">
        <f>E97/$K$38*$D$93*$C$69</f>
        <v>0.5690494143173969</v>
      </c>
      <c r="F101" s="17">
        <f>F97/$K$38*$D$93*$C$69</f>
        <v>1.8968313810579893</v>
      </c>
      <c r="G101" s="17">
        <f>G97/$K$38*$D$93*$C$69</f>
        <v>3.161385635096649</v>
      </c>
      <c r="H101" s="17">
        <f>H97/$K$38*$D$93*$C$69</f>
        <v>2.1763102435717796</v>
      </c>
      <c r="I101" s="17">
        <f>I97/$K$38*$D$93*$C$69</f>
        <v>2.3673071897685842</v>
      </c>
      <c r="J101" s="8"/>
      <c r="M101" s="15"/>
    </row>
    <row r="102" spans="2:9" ht="12.75">
      <c r="B102" s="7" t="s">
        <v>51</v>
      </c>
      <c r="E102" s="17">
        <f>E100+E101</f>
        <v>2.601803504017361</v>
      </c>
      <c r="F102" s="17">
        <f>F100+F101</f>
        <v>8.672678346724535</v>
      </c>
      <c r="G102" s="17">
        <f>G100+G101</f>
        <v>14.454463911207561</v>
      </c>
      <c r="H102" s="17">
        <f>H100+H101</f>
        <v>9.950509525339168</v>
      </c>
      <c r="I102" s="17">
        <f>I100+I101</f>
        <v>10.823784343603524</v>
      </c>
    </row>
    <row r="103" spans="2:9" ht="12.75">
      <c r="B103" s="7" t="s">
        <v>52</v>
      </c>
      <c r="E103" s="17">
        <f>$I$45</f>
        <v>8.204889771095784</v>
      </c>
      <c r="F103" s="17">
        <f>$I$45</f>
        <v>8.204889771095784</v>
      </c>
      <c r="G103" s="17">
        <f>$I$45</f>
        <v>8.204889771095784</v>
      </c>
      <c r="H103" s="17">
        <f>$I$45</f>
        <v>8.204889771095784</v>
      </c>
      <c r="I103" s="17">
        <f>$I$45</f>
        <v>8.204889771095784</v>
      </c>
    </row>
    <row r="104" spans="2:14" ht="12.75">
      <c r="B104" s="7" t="s">
        <v>54</v>
      </c>
      <c r="E104" s="14">
        <f>$C$30/64.4*E103^2*6</f>
        <v>11603.329182138783</v>
      </c>
      <c r="F104" s="14">
        <f>$C$30/64.4*F103^2*6</f>
        <v>11603.329182138783</v>
      </c>
      <c r="G104" s="14">
        <f>$C$30/64.4*G103^2*6</f>
        <v>11603.329182138783</v>
      </c>
      <c r="H104" s="14">
        <f>$C$30/64.4*H103^2*6</f>
        <v>11603.329182138783</v>
      </c>
      <c r="I104" s="14">
        <f>$C$30/64.4*I103^2*6</f>
        <v>11603.329182138783</v>
      </c>
      <c r="J104" s="1" t="s">
        <v>80</v>
      </c>
      <c r="M104" s="1">
        <f>K39+M105*0.7</f>
        <v>366916</v>
      </c>
      <c r="N104" s="1" t="s">
        <v>10</v>
      </c>
    </row>
    <row r="105" spans="2:14" ht="12.75">
      <c r="B105" s="7" t="s">
        <v>55</v>
      </c>
      <c r="E105" s="14">
        <f>$C$30/6*(E98+(E102)*COS($I$91))</f>
        <v>717.095152187614</v>
      </c>
      <c r="F105" s="14">
        <f>$C$30/6*(F98+(F102)*COS($I$91))</f>
        <v>2390.3171739587133</v>
      </c>
      <c r="G105" s="14">
        <f>$C$30/6*(G98+(G102)*COS($I$91))</f>
        <v>3592.3344230062844</v>
      </c>
      <c r="H105" s="14">
        <f>$C$30/6*(H98+(H102)*COS($I$91))</f>
        <v>2742.5061621293676</v>
      </c>
      <c r="I105" s="14">
        <f>$C$30/6*(I98+(I102)*COS($I$91))</f>
        <v>2983.1934921825255</v>
      </c>
      <c r="J105" s="1" t="s">
        <v>13</v>
      </c>
      <c r="M105" s="1">
        <f>0.954*K39</f>
        <v>209880</v>
      </c>
      <c r="N105" s="1" t="s">
        <v>14</v>
      </c>
    </row>
    <row r="106" spans="2:14" ht="12.75">
      <c r="B106" s="7" t="s">
        <v>59</v>
      </c>
      <c r="E106" s="14">
        <f>E104+E105</f>
        <v>12320.424334326397</v>
      </c>
      <c r="F106" s="14">
        <f>F104+F105</f>
        <v>13993.646356097495</v>
      </c>
      <c r="G106" s="14">
        <f>G104+G105</f>
        <v>15195.663605145068</v>
      </c>
      <c r="H106" s="14">
        <f>H104+H105</f>
        <v>14345.835344268151</v>
      </c>
      <c r="I106" s="14">
        <f>I104+I105</f>
        <v>14586.522674321308</v>
      </c>
      <c r="J106" s="7" t="s">
        <v>104</v>
      </c>
      <c r="M106" s="7">
        <f>0.6*K39</f>
        <v>132000</v>
      </c>
      <c r="N106" s="1" t="s">
        <v>14</v>
      </c>
    </row>
    <row r="107" spans="2:13" ht="12.75">
      <c r="B107" s="7" t="s">
        <v>161</v>
      </c>
      <c r="E107" s="14">
        <f>1.44*E104</f>
        <v>16708.794022279846</v>
      </c>
      <c r="F107" s="14">
        <f>1.44*F104</f>
        <v>16708.794022279846</v>
      </c>
      <c r="G107" s="14">
        <f>1.44*G104</f>
        <v>16708.794022279846</v>
      </c>
      <c r="H107" s="14">
        <f>1.44*H104</f>
        <v>16708.794022279846</v>
      </c>
      <c r="I107" s="14">
        <f>1.44*I104</f>
        <v>16708.794022279846</v>
      </c>
      <c r="M107" s="7"/>
    </row>
    <row r="108" spans="2:15" ht="12.75">
      <c r="B108" s="7" t="s">
        <v>46</v>
      </c>
      <c r="E108" s="14">
        <f>0.47*E98*E97</f>
        <v>384.35625047298663</v>
      </c>
      <c r="F108" s="14">
        <f>0.47*F98*F97</f>
        <v>4270.625005255408</v>
      </c>
      <c r="G108" s="14">
        <f>0.47*G98*G97</f>
        <v>9102.578125</v>
      </c>
      <c r="H108" s="14">
        <f>0.47*H98*H97</f>
        <v>5621.802691600675</v>
      </c>
      <c r="I108" s="14">
        <f>0.47*I98*I97</f>
        <v>6651.861848839772</v>
      </c>
      <c r="J108" s="4"/>
      <c r="K108" s="4"/>
      <c r="L108" s="4"/>
      <c r="M108" s="4"/>
      <c r="N108" s="12"/>
      <c r="O108" s="12"/>
    </row>
    <row r="109" spans="2:15" ht="12.75">
      <c r="B109" s="7" t="s">
        <v>49</v>
      </c>
      <c r="E109" s="14">
        <f>E99*E102/2</f>
        <v>576.3986498960288</v>
      </c>
      <c r="F109" s="14">
        <f>F99*F102/2</f>
        <v>6404.429443289207</v>
      </c>
      <c r="G109" s="14">
        <f>G99*G102/2</f>
        <v>17790.08178691447</v>
      </c>
      <c r="H109" s="14">
        <f>H99*H102/2</f>
        <v>8430.718838142664</v>
      </c>
      <c r="I109" s="14">
        <f>I99*I102/2</f>
        <v>9975.443834327905</v>
      </c>
      <c r="J109" s="4"/>
      <c r="K109" s="4"/>
      <c r="L109" s="23"/>
      <c r="M109" s="4"/>
      <c r="N109" s="12"/>
      <c r="O109" s="4"/>
    </row>
    <row r="110" spans="2:15" ht="12.75">
      <c r="B110" s="7" t="s">
        <v>56</v>
      </c>
      <c r="E110" s="14">
        <f>E109+E108</f>
        <v>960.7549003690154</v>
      </c>
      <c r="F110" s="14">
        <f>F109+F108</f>
        <v>10675.054448544615</v>
      </c>
      <c r="G110" s="14">
        <f>G109+G108</f>
        <v>26892.65991191447</v>
      </c>
      <c r="H110" s="14">
        <f>H109+H108</f>
        <v>14052.521529743339</v>
      </c>
      <c r="I110" s="14">
        <f>I109+I108</f>
        <v>16627.305683167677</v>
      </c>
      <c r="J110" s="12"/>
      <c r="K110" s="14"/>
      <c r="L110" s="5"/>
      <c r="M110" s="14"/>
      <c r="N110" s="22"/>
      <c r="O110" s="4"/>
    </row>
    <row r="111" spans="2:15" ht="12.75">
      <c r="B111" s="7" t="s">
        <v>92</v>
      </c>
      <c r="E111" s="5">
        <f>E98+E102*COS($I$91)</f>
        <v>2.3257140070949642</v>
      </c>
      <c r="F111" s="5"/>
      <c r="G111" s="5"/>
      <c r="H111" s="5">
        <f>H98+H102*COS($I$91)</f>
        <v>8.89461457987903</v>
      </c>
      <c r="I111" s="5">
        <f>I98+I102*COS($I$91)</f>
        <v>9.675222136808191</v>
      </c>
      <c r="J111" s="12"/>
      <c r="K111" s="14"/>
      <c r="L111" s="5"/>
      <c r="M111" s="14"/>
      <c r="N111" s="22"/>
      <c r="O111" s="4"/>
    </row>
    <row r="112" spans="2:14" ht="12.75">
      <c r="B112" s="1" t="s">
        <v>107</v>
      </c>
      <c r="H112" s="14">
        <f>D48*$D$38*SIN($M$92)+H97*SIN($M$93)*$D$38*SIN($M$92)</f>
        <v>8649.847542691063</v>
      </c>
      <c r="I112" s="14">
        <f>E48*$D$38*SIN($M$92)+I97*SIN($M$93)*$D$38*SIN($M$92)</f>
        <v>9408.973899147712</v>
      </c>
      <c r="J112" s="1" t="s">
        <v>70</v>
      </c>
      <c r="K112" s="14"/>
      <c r="L112" s="5"/>
      <c r="M112" s="14"/>
      <c r="N112" s="22"/>
    </row>
    <row r="115" spans="2:9" ht="12.75">
      <c r="B115" s="6"/>
      <c r="I115" s="5"/>
    </row>
  </sheetData>
  <printOptions/>
  <pageMargins left="0.25" right="0.25" top="0.5" bottom="0.5" header="0.5" footer="0.5"/>
  <pageSetup fitToHeight="2" fitToWidth="1" horizontalDpi="300" verticalDpi="3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Sport Aviation Gear Design</dc:title>
  <dc:subject/>
  <dc:creator>Neal Willford</dc:creator>
  <cp:keywords/>
  <dc:description/>
  <cp:lastModifiedBy>Dan Horton</cp:lastModifiedBy>
  <cp:lastPrinted>2006-05-10T23:16:37Z</cp:lastPrinted>
  <dcterms:created xsi:type="dcterms:W3CDTF">2001-03-23T22:38:00Z</dcterms:created>
  <dcterms:modified xsi:type="dcterms:W3CDTF">2006-05-10T23:17:01Z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-1746849272</vt:i4>
  </property>
  <property fmtid="{D5CDD505-2E9C-101B-9397-08002B2CF9AE}" pid="3" name="_EmailSubject">
    <vt:lpwstr>Landing gear article</vt:lpwstr>
  </property>
  <property fmtid="{D5CDD505-2E9C-101B-9397-08002B2CF9AE}" pid="4" name="_AuthorEmail">
    <vt:lpwstr>willford@southwind.net</vt:lpwstr>
  </property>
  <property fmtid="{D5CDD505-2E9C-101B-9397-08002B2CF9AE}" pid="5" name="_AuthorEmailDisplayName">
    <vt:lpwstr>Willford</vt:lpwstr>
  </property>
  <property fmtid="{D5CDD505-2E9C-101B-9397-08002B2CF9AE}" pid="6" name="_ReviewingToolsShownOnce">
    <vt:lpwstr/>
  </property>
</Properties>
</file>